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/>
  </bookViews>
  <sheets>
    <sheet name="1_ΚΑΤ_ΔΕ01 ΕΙΔΙΚΟΥ ΒΟΗΘΗΤΙΚΟΥ Π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3"/>
  <c r="G102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6"/>
  <c r="G175"/>
  <c r="G177"/>
  <c r="G178"/>
  <c r="G179"/>
  <c r="G180"/>
  <c r="G181"/>
  <c r="G182"/>
  <c r="G183"/>
  <c r="G184"/>
  <c r="G185"/>
  <c r="G186"/>
  <c r="G188"/>
  <c r="G187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1"/>
  <c r="G260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2"/>
  <c r="G321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3"/>
  <c r="G342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7"/>
  <c r="G366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3"/>
  <c r="G422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4"/>
  <c r="G513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5"/>
  <c r="G536"/>
  <c r="G534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90"/>
  <c r="G589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2"/>
  <c r="G701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3"/>
  <c r="G742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6"/>
  <c r="G767"/>
  <c r="G765"/>
  <c r="G768"/>
  <c r="G770"/>
  <c r="G769"/>
  <c r="G771"/>
  <c r="G772"/>
  <c r="G773"/>
  <c r="G774"/>
  <c r="G775"/>
  <c r="G776"/>
  <c r="G777"/>
  <c r="G778"/>
  <c r="G779"/>
  <c r="G780"/>
  <c r="G781"/>
  <c r="G783"/>
  <c r="G782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4"/>
  <c r="G813"/>
  <c r="G815"/>
  <c r="G816"/>
  <c r="G817"/>
  <c r="G818"/>
  <c r="G819"/>
  <c r="G820"/>
  <c r="G821"/>
  <c r="G822"/>
  <c r="G823"/>
  <c r="G824"/>
  <c r="G826"/>
  <c r="G827"/>
  <c r="G828"/>
  <c r="G825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9"/>
  <c r="G868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8"/>
  <c r="G917"/>
  <c r="G916"/>
  <c r="G919"/>
  <c r="G920"/>
  <c r="G921"/>
  <c r="G922"/>
  <c r="G923"/>
  <c r="G924"/>
  <c r="G925"/>
  <c r="G926"/>
  <c r="G927"/>
  <c r="G928"/>
  <c r="G929"/>
  <c r="G930"/>
  <c r="G931"/>
  <c r="G932"/>
  <c r="G933"/>
  <c r="G934"/>
  <c r="G937"/>
  <c r="G935"/>
  <c r="G936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9"/>
  <c r="G968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6"/>
  <c r="G1014"/>
  <c r="G1013"/>
  <c r="G1015"/>
  <c r="G1018"/>
  <c r="G1012"/>
  <c r="G1017"/>
  <c r="G1021"/>
  <c r="G1019"/>
  <c r="G1020"/>
  <c r="G1023"/>
  <c r="G1022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7"/>
  <c r="G1056"/>
  <c r="G1055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1"/>
  <c r="G1080"/>
  <c r="G1082"/>
  <c r="G1083"/>
  <c r="G1084"/>
  <c r="G1085"/>
  <c r="G1086"/>
  <c r="G1087"/>
  <c r="G1088"/>
  <c r="G1090"/>
  <c r="G1089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4"/>
  <c r="G1115"/>
  <c r="G1116"/>
  <c r="G1113"/>
  <c r="G1118"/>
  <c r="G1117"/>
  <c r="G1111"/>
  <c r="G1112"/>
  <c r="G1119"/>
  <c r="G1120"/>
  <c r="G1121"/>
  <c r="G1122"/>
  <c r="G1123"/>
  <c r="G1125"/>
  <c r="G1124"/>
  <c r="G1126"/>
  <c r="G1127"/>
  <c r="G1128"/>
  <c r="G1129"/>
  <c r="G1130"/>
  <c r="G1134"/>
  <c r="G1132"/>
  <c r="G1131"/>
  <c r="G1133"/>
  <c r="G1135"/>
  <c r="G1136"/>
  <c r="G1137"/>
  <c r="G1138"/>
  <c r="G1139"/>
  <c r="G1140"/>
  <c r="G1142"/>
  <c r="G1141"/>
  <c r="G1143"/>
  <c r="G1144"/>
  <c r="G1145"/>
  <c r="G1146"/>
  <c r="G1147"/>
  <c r="G1148"/>
  <c r="G1149"/>
  <c r="G1151"/>
  <c r="G1150"/>
  <c r="G1152"/>
  <c r="G1153"/>
  <c r="G1154"/>
  <c r="G1155"/>
  <c r="G1156"/>
  <c r="G1157"/>
  <c r="G1158"/>
  <c r="G1159"/>
  <c r="G1160"/>
  <c r="G1161"/>
  <c r="G1162"/>
  <c r="G1164"/>
  <c r="G1163"/>
  <c r="G1165"/>
  <c r="G1166"/>
  <c r="G1167"/>
  <c r="G1168"/>
  <c r="G1169"/>
  <c r="G1170"/>
  <c r="G1171"/>
  <c r="G1172"/>
  <c r="G1173"/>
  <c r="G1175"/>
  <c r="G1174"/>
  <c r="G1176"/>
  <c r="G1177"/>
  <c r="G1178"/>
  <c r="G1179"/>
  <c r="G1180"/>
  <c r="G1181"/>
  <c r="G1182"/>
  <c r="G1184"/>
  <c r="G1183"/>
  <c r="G1188"/>
  <c r="G1187"/>
  <c r="G1185"/>
  <c r="G1186"/>
  <c r="G1189"/>
  <c r="G1190"/>
  <c r="G1191"/>
  <c r="G1192"/>
  <c r="G1193"/>
  <c r="G1194"/>
  <c r="G1195"/>
  <c r="G1196"/>
  <c r="G1197"/>
  <c r="G1198"/>
  <c r="G1199"/>
  <c r="G1200"/>
  <c r="G1201"/>
  <c r="G1202"/>
  <c r="G1203"/>
  <c r="G1205"/>
  <c r="G1204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2"/>
  <c r="G1233"/>
  <c r="G1231"/>
  <c r="G1234"/>
  <c r="G1236"/>
  <c r="G1235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1"/>
  <c r="G1280"/>
  <c r="G1282"/>
  <c r="G1283"/>
  <c r="G1284"/>
  <c r="G1285"/>
  <c r="G1287"/>
  <c r="G1286"/>
  <c r="G1288"/>
  <c r="G1289"/>
  <c r="G1290"/>
  <c r="G1291"/>
  <c r="G1293"/>
  <c r="G1292"/>
  <c r="G1298"/>
  <c r="G1295"/>
  <c r="G1297"/>
  <c r="G1294"/>
  <c r="G1299"/>
  <c r="G1296"/>
  <c r="G1300"/>
  <c r="G1301"/>
  <c r="G1302"/>
  <c r="G1303"/>
  <c r="G1304"/>
  <c r="G1306"/>
  <c r="G1305"/>
  <c r="G1307"/>
  <c r="G1308"/>
  <c r="G1309"/>
  <c r="G1310"/>
  <c r="G1312"/>
  <c r="G1311"/>
  <c r="G1313"/>
  <c r="G1314"/>
  <c r="G1315"/>
  <c r="G1316"/>
  <c r="G1317"/>
  <c r="G1318"/>
  <c r="G1319"/>
  <c r="G1320"/>
  <c r="G1321"/>
  <c r="G1322"/>
  <c r="G1323"/>
  <c r="G1324"/>
  <c r="G1325"/>
  <c r="G1326"/>
  <c r="G1328"/>
  <c r="G1327"/>
  <c r="G1329"/>
  <c r="G1330"/>
  <c r="G1331"/>
  <c r="G1332"/>
  <c r="G1333"/>
  <c r="G1334"/>
  <c r="G1335"/>
  <c r="G1336"/>
  <c r="G1337"/>
  <c r="G1338"/>
  <c r="G1339"/>
  <c r="G1340"/>
  <c r="G1341"/>
  <c r="G1342"/>
  <c r="G1351"/>
  <c r="G1343"/>
  <c r="G1344"/>
  <c r="G1347"/>
  <c r="G1348"/>
  <c r="G1349"/>
  <c r="G1346"/>
  <c r="G1352"/>
  <c r="G1350"/>
  <c r="G1345"/>
  <c r="G1353"/>
  <c r="G1354"/>
  <c r="G1355"/>
  <c r="G1356"/>
  <c r="G1357"/>
  <c r="G1358"/>
  <c r="G1359"/>
  <c r="G1360"/>
  <c r="G1361"/>
  <c r="G1362"/>
  <c r="G1363"/>
  <c r="G1364"/>
  <c r="G1368"/>
  <c r="G1367"/>
  <c r="G1365"/>
  <c r="G1366"/>
  <c r="G1369"/>
  <c r="G1370"/>
  <c r="G1371"/>
  <c r="G1372"/>
  <c r="G1373"/>
  <c r="G1374"/>
  <c r="G1375"/>
  <c r="G1376"/>
  <c r="G1377"/>
  <c r="G1378"/>
  <c r="G1380"/>
  <c r="G1379"/>
  <c r="G1381"/>
  <c r="G1382"/>
  <c r="G1383"/>
  <c r="G1384"/>
  <c r="G1385"/>
  <c r="G1387"/>
  <c r="G1386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7"/>
  <c r="G1415"/>
  <c r="G1414"/>
  <c r="G1418"/>
  <c r="G1416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41"/>
  <c r="G1440"/>
  <c r="G1438"/>
  <c r="G1439"/>
  <c r="G1442"/>
  <c r="G1443"/>
  <c r="G1444"/>
  <c r="G1446"/>
  <c r="G1445"/>
  <c r="G1447"/>
  <c r="G1448"/>
  <c r="G1449"/>
  <c r="G1450"/>
  <c r="G1451"/>
  <c r="G1453"/>
  <c r="G1452"/>
  <c r="G1454"/>
  <c r="G1455"/>
  <c r="G1456"/>
  <c r="G1457"/>
  <c r="G1458"/>
  <c r="G1459"/>
  <c r="G1460"/>
  <c r="G1461"/>
  <c r="G1462"/>
  <c r="G1463"/>
  <c r="G1464"/>
  <c r="G1465"/>
  <c r="G1466"/>
  <c r="G1470"/>
  <c r="G1469"/>
  <c r="G1467"/>
  <c r="G1468"/>
  <c r="G1471"/>
  <c r="G1472"/>
  <c r="G1473"/>
  <c r="G1474"/>
  <c r="G1475"/>
  <c r="G1476"/>
  <c r="G1477"/>
  <c r="G1478"/>
  <c r="G1479"/>
  <c r="G1480"/>
  <c r="G1481"/>
  <c r="G1482"/>
  <c r="G1501"/>
  <c r="G1489"/>
  <c r="G1488"/>
  <c r="G1483"/>
  <c r="G1498"/>
  <c r="G1494"/>
  <c r="G1493"/>
  <c r="G1486"/>
  <c r="G1500"/>
  <c r="G1502"/>
  <c r="G1491"/>
  <c r="G1490"/>
  <c r="G1496"/>
  <c r="G1487"/>
  <c r="G1484"/>
  <c r="G1499"/>
  <c r="G1497"/>
  <c r="G1485"/>
  <c r="G1492"/>
  <c r="G1495"/>
  <c r="G1503"/>
  <c r="G1504"/>
  <c r="G1505"/>
  <c r="G1510"/>
  <c r="G1506"/>
  <c r="G1508"/>
  <c r="G1511"/>
  <c r="G1509"/>
  <c r="G1507"/>
  <c r="G1512"/>
  <c r="G1514"/>
  <c r="G1515"/>
  <c r="G1513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6"/>
  <c r="G1545"/>
  <c r="G1547"/>
  <c r="G1548"/>
  <c r="G1549"/>
  <c r="G1550"/>
  <c r="G1551"/>
  <c r="G1552"/>
  <c r="G1553"/>
  <c r="G1554"/>
  <c r="G1555"/>
  <c r="G1556"/>
  <c r="G1557"/>
  <c r="G1558"/>
  <c r="G1559"/>
  <c r="G1561"/>
  <c r="G1560"/>
  <c r="G1562"/>
  <c r="G1563"/>
  <c r="G1564"/>
  <c r="G1565"/>
  <c r="G1570"/>
  <c r="G1572"/>
  <c r="G1568"/>
  <c r="G1573"/>
  <c r="G1571"/>
  <c r="G1569"/>
  <c r="G1567"/>
  <c r="G1566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7"/>
  <c r="G1596"/>
  <c r="G1598"/>
  <c r="G1601"/>
  <c r="G1599"/>
  <c r="G1602"/>
  <c r="G1600"/>
  <c r="G1603"/>
  <c r="G1604"/>
  <c r="G1606"/>
  <c r="G1607"/>
  <c r="G1605"/>
  <c r="G1609"/>
  <c r="G1608"/>
  <c r="G1620"/>
  <c r="G1611"/>
  <c r="G1612"/>
  <c r="G1616"/>
  <c r="G1613"/>
  <c r="G1623"/>
  <c r="G1614"/>
  <c r="G1618"/>
  <c r="G1617"/>
  <c r="G1619"/>
  <c r="G1622"/>
  <c r="G1621"/>
  <c r="G1615"/>
  <c r="G1610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7"/>
  <c r="G1646"/>
  <c r="G1648"/>
  <c r="G1649"/>
  <c r="G1650"/>
  <c r="G1651"/>
  <c r="G1652"/>
  <c r="G1653"/>
  <c r="G1654"/>
  <c r="G1655"/>
  <c r="G1656"/>
  <c r="G1658"/>
  <c r="G1657"/>
  <c r="G1659"/>
  <c r="G1661"/>
  <c r="G1660"/>
  <c r="G1662"/>
  <c r="G1663"/>
  <c r="G1664"/>
  <c r="G1665"/>
  <c r="G1666"/>
  <c r="G1667"/>
  <c r="G1668"/>
  <c r="G1669"/>
  <c r="G1670"/>
  <c r="G1672"/>
  <c r="G1671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2"/>
  <c r="G1690"/>
  <c r="G1691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20"/>
  <c r="G1717"/>
  <c r="G1718"/>
  <c r="G1726"/>
  <c r="G1725"/>
  <c r="G1719"/>
  <c r="G1721"/>
  <c r="G1722"/>
  <c r="G1723"/>
  <c r="G1724"/>
  <c r="G1716"/>
  <c r="G1727"/>
  <c r="G1728"/>
  <c r="G1729"/>
  <c r="G1734"/>
  <c r="G1733"/>
  <c r="G1731"/>
  <c r="G1730"/>
  <c r="G1732"/>
  <c r="G1735"/>
  <c r="G1738"/>
  <c r="G1737"/>
  <c r="G1736"/>
  <c r="G1739"/>
  <c r="G1740"/>
  <c r="G1741"/>
  <c r="G1742"/>
  <c r="G1743"/>
  <c r="G1745"/>
  <c r="G1744"/>
  <c r="G1746"/>
  <c r="G1747"/>
  <c r="G1748"/>
  <c r="G1749"/>
  <c r="G1750"/>
  <c r="G1751"/>
  <c r="G1752"/>
  <c r="G1753"/>
  <c r="G1754"/>
  <c r="G1756"/>
  <c r="G1755"/>
  <c r="G1758"/>
  <c r="G1757"/>
  <c r="G1759"/>
  <c r="G1760"/>
  <c r="G1761"/>
  <c r="G1762"/>
  <c r="G1764"/>
  <c r="G1763"/>
  <c r="G1765"/>
  <c r="G1774"/>
  <c r="G1775"/>
  <c r="G1769"/>
  <c r="G1767"/>
  <c r="G1773"/>
  <c r="G1772"/>
  <c r="G1770"/>
  <c r="G1768"/>
  <c r="G1771"/>
  <c r="G1766"/>
  <c r="G1776"/>
  <c r="G1777"/>
  <c r="G1778"/>
  <c r="G1779"/>
  <c r="G1780"/>
  <c r="G1782"/>
  <c r="G1781"/>
  <c r="G1783"/>
  <c r="G1784"/>
  <c r="G1787"/>
  <c r="G1785"/>
  <c r="G1786"/>
  <c r="G1788"/>
  <c r="G1789"/>
  <c r="G1790"/>
  <c r="G1792"/>
  <c r="G1791"/>
  <c r="G1793"/>
  <c r="G1794"/>
  <c r="G1795"/>
  <c r="G1796"/>
  <c r="G1797"/>
  <c r="G1798"/>
  <c r="G1799"/>
  <c r="G1801"/>
  <c r="G1800"/>
  <c r="G1802"/>
  <c r="G1803"/>
  <c r="G1804"/>
  <c r="G1805"/>
  <c r="G1806"/>
  <c r="G1807"/>
  <c r="G1808"/>
  <c r="G1809"/>
  <c r="G1810"/>
  <c r="G1811"/>
  <c r="G1812"/>
  <c r="G1813"/>
  <c r="G1816"/>
  <c r="G1815"/>
  <c r="G1814"/>
  <c r="G1818"/>
  <c r="G1817"/>
  <c r="G1819"/>
  <c r="G1820"/>
  <c r="G1821"/>
  <c r="G1822"/>
  <c r="G1823"/>
  <c r="G1824"/>
  <c r="G1825"/>
  <c r="G1826"/>
  <c r="G1827"/>
  <c r="G1828"/>
  <c r="G1829"/>
  <c r="G1831"/>
  <c r="G1830"/>
  <c r="G1832"/>
  <c r="G1833"/>
  <c r="G1835"/>
  <c r="G1834"/>
  <c r="G1836"/>
  <c r="G1839"/>
  <c r="G1838"/>
  <c r="G1837"/>
  <c r="G1840"/>
  <c r="G1841"/>
  <c r="G1842"/>
  <c r="G1843"/>
  <c r="G1844"/>
  <c r="G1845"/>
  <c r="G1846"/>
  <c r="G1847"/>
  <c r="G1848"/>
  <c r="G1849"/>
  <c r="G1852"/>
  <c r="G1853"/>
  <c r="G1855"/>
  <c r="G1850"/>
  <c r="G1851"/>
  <c r="G1857"/>
  <c r="G1856"/>
  <c r="G1854"/>
  <c r="G1858"/>
  <c r="G1859"/>
  <c r="G1860"/>
  <c r="G1861"/>
  <c r="G1862"/>
  <c r="G1863"/>
  <c r="G1864"/>
  <c r="G1865"/>
  <c r="G1866"/>
  <c r="G1867"/>
  <c r="G1868"/>
  <c r="G1869"/>
  <c r="G1870"/>
  <c r="G1871"/>
  <c r="G1872"/>
  <c r="G1874"/>
  <c r="G1875"/>
  <c r="G1873"/>
  <c r="G1877"/>
  <c r="G1878"/>
  <c r="G1876"/>
  <c r="G1879"/>
  <c r="G1882"/>
  <c r="G1880"/>
  <c r="G1883"/>
  <c r="G1884"/>
  <c r="G1881"/>
  <c r="G1885"/>
  <c r="G1886"/>
  <c r="G1887"/>
  <c r="G1888"/>
  <c r="G1889"/>
  <c r="G1890"/>
  <c r="G1891"/>
  <c r="G1892"/>
  <c r="G1893"/>
  <c r="G1894"/>
  <c r="G1896"/>
  <c r="G1895"/>
  <c r="G1897"/>
  <c r="G1905"/>
  <c r="G1900"/>
  <c r="G1904"/>
  <c r="G1899"/>
  <c r="G1902"/>
  <c r="G1906"/>
  <c r="G1903"/>
  <c r="G1898"/>
  <c r="G1901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9"/>
  <c r="G1928"/>
  <c r="G1927"/>
  <c r="G1926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61"/>
  <c r="G1957"/>
  <c r="G1959"/>
  <c r="G1960"/>
  <c r="G1958"/>
  <c r="G1963"/>
  <c r="G1962"/>
  <c r="G1964"/>
  <c r="G1965"/>
  <c r="G1966"/>
  <c r="G1967"/>
  <c r="G1968"/>
  <c r="G1969"/>
  <c r="G1970"/>
  <c r="G1971"/>
  <c r="G1976"/>
  <c r="G1975"/>
  <c r="G1972"/>
  <c r="G1973"/>
  <c r="G1974"/>
  <c r="G1977"/>
  <c r="G1978"/>
  <c r="G1980"/>
  <c r="G1979"/>
  <c r="G1983"/>
  <c r="G1984"/>
  <c r="G1982"/>
  <c r="G1981"/>
  <c r="G1985"/>
  <c r="G1986"/>
  <c r="G1987"/>
  <c r="G1988"/>
  <c r="G1989"/>
  <c r="G1990"/>
  <c r="G1991"/>
  <c r="G1992"/>
  <c r="G1993"/>
  <c r="G1994"/>
  <c r="G1995"/>
  <c r="G1996"/>
  <c r="G1998"/>
  <c r="G2000"/>
  <c r="G1999"/>
  <c r="G1997"/>
  <c r="G2001"/>
  <c r="G2002"/>
  <c r="G2003"/>
  <c r="G2004"/>
  <c r="G2005"/>
  <c r="G2006"/>
  <c r="G2007"/>
  <c r="G2008"/>
  <c r="G2009"/>
  <c r="G2011"/>
  <c r="G2010"/>
  <c r="G2012"/>
  <c r="G2013"/>
  <c r="G2015"/>
  <c r="G2017"/>
  <c r="G2016"/>
  <c r="G2014"/>
  <c r="G2018"/>
  <c r="G2019"/>
  <c r="G2021"/>
  <c r="G2020"/>
  <c r="G2022"/>
  <c r="G2023"/>
  <c r="G2024"/>
  <c r="G2025"/>
  <c r="G2028"/>
  <c r="G2027"/>
  <c r="G2026"/>
  <c r="G2029"/>
  <c r="G2030"/>
  <c r="G2031"/>
  <c r="G2032"/>
  <c r="G2033"/>
  <c r="G2034"/>
  <c r="G2035"/>
  <c r="G2036"/>
  <c r="G2037"/>
  <c r="G2038"/>
  <c r="G2039"/>
  <c r="G2040"/>
  <c r="G2041"/>
  <c r="G2042"/>
  <c r="G2043"/>
  <c r="G2050"/>
  <c r="G2052"/>
  <c r="G2053"/>
  <c r="G2051"/>
  <c r="G2054"/>
  <c r="G2055"/>
  <c r="G2047"/>
  <c r="G2045"/>
  <c r="G2049"/>
  <c r="G2044"/>
  <c r="G2048"/>
  <c r="G2046"/>
  <c r="G2056"/>
  <c r="G2057"/>
  <c r="G2058"/>
  <c r="G2059"/>
  <c r="G2060"/>
  <c r="G2061"/>
  <c r="G2063"/>
  <c r="G2065"/>
  <c r="G2064"/>
  <c r="G2062"/>
  <c r="G2066"/>
  <c r="G2067"/>
  <c r="G2068"/>
  <c r="G2069"/>
  <c r="G2070"/>
  <c r="G2071"/>
  <c r="G2073"/>
  <c r="G2074"/>
  <c r="G2076"/>
  <c r="G2075"/>
  <c r="G2072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5"/>
  <c r="G2097"/>
  <c r="G2096"/>
  <c r="G2094"/>
  <c r="G2098"/>
  <c r="G2099"/>
  <c r="G2100"/>
  <c r="G2101"/>
  <c r="G2102"/>
  <c r="G2103"/>
  <c r="G2104"/>
  <c r="G2105"/>
  <c r="G2106"/>
  <c r="G2107"/>
  <c r="G2108"/>
  <c r="G2109"/>
  <c r="G2110"/>
  <c r="G2111"/>
  <c r="G2112"/>
  <c r="G2114"/>
  <c r="G2113"/>
  <c r="G2121"/>
  <c r="G2118"/>
  <c r="G2120"/>
  <c r="G2117"/>
  <c r="G2122"/>
  <c r="G2119"/>
  <c r="G2115"/>
  <c r="G2116"/>
  <c r="G2123"/>
  <c r="G2124"/>
  <c r="G2125"/>
  <c r="G2126"/>
  <c r="G2128"/>
  <c r="G2127"/>
  <c r="G2129"/>
  <c r="G2130"/>
  <c r="G2131"/>
  <c r="G2132"/>
  <c r="G2133"/>
  <c r="G2134"/>
  <c r="G2135"/>
  <c r="G2136"/>
  <c r="G2137"/>
  <c r="G2138"/>
  <c r="G2139"/>
  <c r="G2140"/>
  <c r="G2141"/>
  <c r="G2142"/>
  <c r="G2143"/>
  <c r="G2145"/>
  <c r="G2144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5"/>
  <c r="G2164"/>
  <c r="G2163"/>
  <c r="G2166"/>
  <c r="G2167"/>
  <c r="G2168"/>
  <c r="G2169"/>
  <c r="G2171"/>
  <c r="G2170"/>
  <c r="G2173"/>
  <c r="G2172"/>
  <c r="G2174"/>
  <c r="G2175"/>
  <c r="G2176"/>
  <c r="G2177"/>
  <c r="G2178"/>
  <c r="G2179"/>
  <c r="G2183"/>
  <c r="G2180"/>
  <c r="G2181"/>
  <c r="G2184"/>
  <c r="G2185"/>
  <c r="G2182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9"/>
  <c r="G2223"/>
  <c r="G2227"/>
  <c r="G2226"/>
  <c r="G2222"/>
  <c r="G2232"/>
  <c r="G2220"/>
  <c r="G2231"/>
  <c r="G2230"/>
  <c r="G2225"/>
  <c r="G2224"/>
  <c r="G2228"/>
  <c r="G2221"/>
  <c r="G2234"/>
  <c r="G2233"/>
  <c r="G2235"/>
  <c r="G2236"/>
  <c r="G2237"/>
  <c r="G2238"/>
  <c r="G2239"/>
  <c r="G2240"/>
  <c r="G2241"/>
  <c r="G2242"/>
  <c r="G2243"/>
  <c r="G2244"/>
  <c r="G2247"/>
  <c r="G2245"/>
  <c r="G2246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8"/>
  <c r="G2265"/>
  <c r="G2270"/>
  <c r="G2272"/>
  <c r="G2269"/>
  <c r="G2267"/>
  <c r="G2271"/>
  <c r="G2266"/>
  <c r="G2273"/>
  <c r="G2274"/>
  <c r="G2275"/>
  <c r="G2276"/>
  <c r="G2277"/>
  <c r="G2278"/>
  <c r="G2280"/>
  <c r="G2282"/>
  <c r="G2283"/>
  <c r="G2281"/>
  <c r="G2279"/>
  <c r="G2284"/>
  <c r="G2285"/>
  <c r="G2286"/>
  <c r="G2288"/>
  <c r="G2287"/>
  <c r="G2289"/>
  <c r="G2290"/>
  <c r="G2291"/>
  <c r="G2298"/>
  <c r="G2299"/>
  <c r="G2295"/>
  <c r="G2293"/>
  <c r="G2296"/>
  <c r="G2297"/>
  <c r="G2294"/>
  <c r="G2292"/>
  <c r="G2300"/>
  <c r="G2301"/>
  <c r="G2302"/>
  <c r="G2305"/>
  <c r="G2304"/>
  <c r="G2303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41"/>
  <c r="G2343"/>
  <c r="G2338"/>
  <c r="G2344"/>
  <c r="G2342"/>
  <c r="G2336"/>
  <c r="G2339"/>
  <c r="G2340"/>
  <c r="G2337"/>
  <c r="G2348"/>
  <c r="G2347"/>
  <c r="G2345"/>
  <c r="G2346"/>
  <c r="G2349"/>
  <c r="G2350"/>
  <c r="G2351"/>
  <c r="G2352"/>
  <c r="G2353"/>
  <c r="G2356"/>
  <c r="G2355"/>
  <c r="G2354"/>
  <c r="G2357"/>
  <c r="G2358"/>
  <c r="G2359"/>
  <c r="G2360"/>
  <c r="G2361"/>
  <c r="G2362"/>
  <c r="G2363"/>
  <c r="G2364"/>
  <c r="G2365"/>
  <c r="G2368"/>
  <c r="G2367"/>
  <c r="G2366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6"/>
  <c r="G2395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8"/>
  <c r="G2417"/>
  <c r="G2419"/>
  <c r="G2421"/>
  <c r="G2420"/>
  <c r="G2422"/>
  <c r="G2424"/>
  <c r="G2423"/>
  <c r="G2425"/>
  <c r="G2426"/>
  <c r="G2427"/>
  <c r="G2428"/>
  <c r="G2429"/>
  <c r="G2430"/>
  <c r="G2432"/>
  <c r="G2431"/>
  <c r="G2433"/>
  <c r="G2434"/>
  <c r="G2435"/>
  <c r="G2436"/>
  <c r="G2439"/>
  <c r="G2441"/>
  <c r="G2438"/>
  <c r="G2437"/>
  <c r="G2442"/>
  <c r="G2440"/>
  <c r="G2445"/>
  <c r="G2444"/>
  <c r="G2443"/>
  <c r="G2446"/>
  <c r="G2447"/>
  <c r="G2448"/>
  <c r="G2450"/>
  <c r="G2449"/>
  <c r="G2451"/>
  <c r="G2452"/>
  <c r="G2454"/>
  <c r="G2455"/>
  <c r="G2456"/>
  <c r="G2453"/>
  <c r="G2457"/>
  <c r="G2462"/>
  <c r="G2458"/>
  <c r="G2459"/>
  <c r="G2461"/>
  <c r="G2460"/>
  <c r="G2463"/>
  <c r="G2464"/>
  <c r="G2465"/>
  <c r="G2466"/>
  <c r="G2467"/>
  <c r="G2468"/>
  <c r="G2470"/>
  <c r="G2469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4"/>
  <c r="G2503"/>
  <c r="G2505"/>
  <c r="G2509"/>
  <c r="G2506"/>
  <c r="G2507"/>
  <c r="G2508"/>
  <c r="G2510"/>
  <c r="G2513"/>
  <c r="G2514"/>
  <c r="G2512"/>
  <c r="G2511"/>
  <c r="G2516"/>
  <c r="G2515"/>
  <c r="G2524"/>
  <c r="G2518"/>
  <c r="G2520"/>
  <c r="G2517"/>
  <c r="G2519"/>
  <c r="G2522"/>
  <c r="G2528"/>
  <c r="G2526"/>
  <c r="G2527"/>
  <c r="G2525"/>
  <c r="G2529"/>
  <c r="G2521"/>
  <c r="G2523"/>
  <c r="G2530"/>
  <c r="G2531"/>
  <c r="G2532"/>
  <c r="G2534"/>
  <c r="G2533"/>
  <c r="G2535"/>
  <c r="G2536"/>
  <c r="G2537"/>
  <c r="G2538"/>
  <c r="G2539"/>
  <c r="G2540"/>
  <c r="G2541"/>
  <c r="G2543"/>
  <c r="G2542"/>
  <c r="G2544"/>
  <c r="G2545"/>
  <c r="G2546"/>
  <c r="G2547"/>
  <c r="G2548"/>
  <c r="G2550"/>
  <c r="G2549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1"/>
  <c r="G2570"/>
  <c r="G2572"/>
  <c r="G2573"/>
  <c r="G2574"/>
  <c r="G2575"/>
  <c r="G2576"/>
  <c r="G2577"/>
  <c r="G2578"/>
  <c r="G2579"/>
  <c r="G2580"/>
  <c r="G2582"/>
  <c r="G2581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2"/>
  <c r="G2601"/>
  <c r="G2603"/>
  <c r="G2604"/>
  <c r="G2605"/>
  <c r="G2606"/>
  <c r="G2607"/>
  <c r="G2612"/>
  <c r="G2610"/>
  <c r="G2616"/>
  <c r="G2611"/>
  <c r="G2609"/>
  <c r="G2615"/>
  <c r="G2614"/>
  <c r="G2608"/>
  <c r="G2613"/>
  <c r="G2617"/>
  <c r="G2618"/>
  <c r="G2629"/>
  <c r="G2621"/>
  <c r="G2631"/>
  <c r="G2624"/>
  <c r="G2625"/>
  <c r="G2630"/>
  <c r="G2626"/>
  <c r="G2627"/>
  <c r="G2628"/>
  <c r="G2623"/>
  <c r="G2619"/>
  <c r="G2622"/>
  <c r="G2620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63"/>
  <c r="G2662"/>
  <c r="G2667"/>
  <c r="G2668"/>
  <c r="G2661"/>
  <c r="G2665"/>
  <c r="G2659"/>
  <c r="G2664"/>
  <c r="G2666"/>
  <c r="G2660"/>
  <c r="G2671"/>
  <c r="G2670"/>
  <c r="G2669"/>
  <c r="G2672"/>
  <c r="G2673"/>
  <c r="G2674"/>
  <c r="G2675"/>
  <c r="G2676"/>
  <c r="G2677"/>
  <c r="G2678"/>
  <c r="G2679"/>
  <c r="G2680"/>
  <c r="G2681"/>
  <c r="G2682"/>
  <c r="G2683"/>
  <c r="G2690"/>
  <c r="G2684"/>
  <c r="G2687"/>
  <c r="G2685"/>
  <c r="G2689"/>
  <c r="G2686"/>
  <c r="G2691"/>
  <c r="G2688"/>
  <c r="G2692"/>
  <c r="G2693"/>
  <c r="G2694"/>
  <c r="G2695"/>
  <c r="G2696"/>
  <c r="G2697"/>
  <c r="G2698"/>
  <c r="G2703"/>
  <c r="G2701"/>
  <c r="G2702"/>
  <c r="G2700"/>
  <c r="G2699"/>
  <c r="G2704"/>
  <c r="G2705"/>
  <c r="G2706"/>
  <c r="G2707"/>
  <c r="G2719"/>
  <c r="G2709"/>
  <c r="G2720"/>
  <c r="G2708"/>
  <c r="G2721"/>
  <c r="G2722"/>
  <c r="G2711"/>
  <c r="G2713"/>
  <c r="G2723"/>
  <c r="G2716"/>
  <c r="G2714"/>
  <c r="G2718"/>
  <c r="G2715"/>
  <c r="G2712"/>
  <c r="G2710"/>
  <c r="G2717"/>
  <c r="G2724"/>
  <c r="G2725"/>
  <c r="G2726"/>
  <c r="G2727"/>
  <c r="G2728"/>
  <c r="G2729"/>
  <c r="G2731"/>
  <c r="G2730"/>
  <c r="G2732"/>
  <c r="G2733"/>
  <c r="G2734"/>
  <c r="G2735"/>
  <c r="G2737"/>
  <c r="G2736"/>
  <c r="G2738"/>
  <c r="G2739"/>
  <c r="G2740"/>
  <c r="G2741"/>
  <c r="G2742"/>
  <c r="G2743"/>
  <c r="G2744"/>
  <c r="G2745"/>
  <c r="G2746"/>
  <c r="G2747"/>
  <c r="G2748"/>
  <c r="G2749"/>
  <c r="G2752"/>
  <c r="G2754"/>
  <c r="G2753"/>
  <c r="G2750"/>
  <c r="G2751"/>
  <c r="G2755"/>
  <c r="G2756"/>
  <c r="G2757"/>
  <c r="G2762"/>
  <c r="G2761"/>
  <c r="G2759"/>
  <c r="G2758"/>
  <c r="G2763"/>
  <c r="G2760"/>
  <c r="G2764"/>
  <c r="G2765"/>
  <c r="G2766"/>
  <c r="G2767"/>
  <c r="G2768"/>
  <c r="G2769"/>
  <c r="G2770"/>
  <c r="G2772"/>
  <c r="G2771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3"/>
  <c r="G2824"/>
  <c r="G2822"/>
  <c r="G2825"/>
  <c r="G2826"/>
  <c r="G2827"/>
  <c r="G2828"/>
  <c r="G2835"/>
  <c r="G2834"/>
  <c r="G2832"/>
  <c r="G2830"/>
  <c r="G2829"/>
  <c r="G2833"/>
  <c r="G2831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7"/>
  <c r="G2864"/>
  <c r="G2873"/>
  <c r="G2865"/>
  <c r="G2868"/>
  <c r="G2862"/>
  <c r="G2872"/>
  <c r="G2866"/>
  <c r="G2863"/>
  <c r="G2869"/>
  <c r="G2870"/>
  <c r="G2871"/>
  <c r="G2874"/>
  <c r="G2875"/>
  <c r="G2876"/>
  <c r="G2877"/>
  <c r="G2878"/>
  <c r="G2879"/>
  <c r="G2882"/>
  <c r="G2880"/>
  <c r="G2881"/>
  <c r="G2883"/>
  <c r="G2884"/>
  <c r="G2885"/>
  <c r="G2886"/>
  <c r="G2887"/>
  <c r="G2888"/>
  <c r="G2889"/>
  <c r="G2890"/>
  <c r="G2891"/>
  <c r="G2892"/>
  <c r="G2893"/>
  <c r="G2894"/>
  <c r="G2897"/>
  <c r="G2896"/>
  <c r="G2895"/>
  <c r="G2898"/>
  <c r="G2900"/>
  <c r="G2899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21"/>
  <c r="G2918"/>
  <c r="G2920"/>
  <c r="G2922"/>
  <c r="G2919"/>
  <c r="G2923"/>
  <c r="G2928"/>
  <c r="G2929"/>
  <c r="G2926"/>
  <c r="G2931"/>
  <c r="G2927"/>
  <c r="G2925"/>
  <c r="G2924"/>
  <c r="G2930"/>
  <c r="G2932"/>
  <c r="G2944"/>
  <c r="G2937"/>
  <c r="G2938"/>
  <c r="G2943"/>
  <c r="G2940"/>
  <c r="G2933"/>
  <c r="G2936"/>
  <c r="G2939"/>
  <c r="G2942"/>
  <c r="G2934"/>
  <c r="G2935"/>
  <c r="G2941"/>
  <c r="G2945"/>
  <c r="G2946"/>
  <c r="G2947"/>
  <c r="G2948"/>
  <c r="G2949"/>
  <c r="G2950"/>
  <c r="G2951"/>
  <c r="G2953"/>
  <c r="G2952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2"/>
  <c r="G2971"/>
  <c r="G2973"/>
  <c r="G2974"/>
  <c r="G2975"/>
  <c r="G2976"/>
  <c r="G2977"/>
  <c r="G2980"/>
  <c r="G2978"/>
  <c r="G2979"/>
  <c r="G2981"/>
  <c r="G2982"/>
  <c r="G2983"/>
  <c r="G2984"/>
  <c r="G2986"/>
  <c r="G2985"/>
  <c r="G2987"/>
  <c r="G2988"/>
  <c r="G2989"/>
  <c r="G2990"/>
  <c r="G2991"/>
  <c r="G2992"/>
  <c r="G2993"/>
  <c r="G2994"/>
  <c r="G2995"/>
  <c r="G2996"/>
  <c r="G2997"/>
  <c r="G2998"/>
  <c r="G2999"/>
  <c r="G3000"/>
  <c r="G3005"/>
  <c r="G3004"/>
  <c r="G3003"/>
  <c r="G3002"/>
  <c r="G3001"/>
  <c r="G3006"/>
  <c r="G3007"/>
  <c r="G3008"/>
  <c r="G3009"/>
  <c r="G3010"/>
  <c r="G3011"/>
  <c r="G3012"/>
  <c r="G3015"/>
  <c r="G3016"/>
  <c r="G3013"/>
  <c r="G3014"/>
  <c r="G3017"/>
  <c r="G3018"/>
  <c r="G3019"/>
  <c r="G3020"/>
  <c r="G3021"/>
  <c r="G3022"/>
  <c r="G3023"/>
  <c r="G3024"/>
  <c r="G3031"/>
  <c r="G3028"/>
  <c r="G3025"/>
  <c r="G3033"/>
  <c r="G3029"/>
  <c r="G3026"/>
  <c r="G3032"/>
  <c r="G3030"/>
  <c r="G3027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9"/>
  <c r="G3058"/>
  <c r="G3062"/>
  <c r="G3054"/>
  <c r="G3057"/>
  <c r="G3053"/>
  <c r="G3056"/>
  <c r="G3064"/>
  <c r="G3061"/>
  <c r="G3055"/>
  <c r="G3060"/>
  <c r="G3063"/>
  <c r="G3065"/>
  <c r="G3066"/>
  <c r="G3068"/>
  <c r="G3067"/>
  <c r="G3069"/>
  <c r="G3070"/>
  <c r="G3071"/>
  <c r="G3075"/>
  <c r="G3073"/>
  <c r="G3074"/>
  <c r="G3072"/>
  <c r="G3076"/>
  <c r="G3077"/>
  <c r="G3078"/>
  <c r="G3079"/>
  <c r="G3080"/>
  <c r="G3081"/>
  <c r="G3082"/>
  <c r="G3084"/>
  <c r="G3083"/>
  <c r="G3085"/>
  <c r="G3086"/>
  <c r="G3087"/>
  <c r="G3092"/>
  <c r="G3091"/>
  <c r="G3089"/>
  <c r="G3093"/>
  <c r="G3090"/>
  <c r="G3088"/>
  <c r="G3094"/>
  <c r="G3095"/>
  <c r="G3096"/>
  <c r="G3097"/>
  <c r="G3098"/>
  <c r="G3099"/>
  <c r="G3100"/>
  <c r="G3103"/>
  <c r="G3101"/>
  <c r="G3102"/>
  <c r="G3104"/>
  <c r="G3105"/>
  <c r="G3107"/>
  <c r="G3106"/>
  <c r="G3108"/>
  <c r="G3109"/>
  <c r="G3110"/>
  <c r="G3111"/>
  <c r="G3112"/>
  <c r="G3113"/>
  <c r="G3114"/>
  <c r="G3115"/>
  <c r="G3116"/>
  <c r="G3117"/>
  <c r="G3118"/>
  <c r="G3121"/>
  <c r="G3125"/>
  <c r="G3119"/>
  <c r="G3123"/>
  <c r="G3120"/>
  <c r="G3126"/>
  <c r="G3124"/>
  <c r="G3127"/>
  <c r="G3122"/>
  <c r="G3128"/>
  <c r="G3129"/>
  <c r="G3131"/>
  <c r="G3130"/>
  <c r="G3132"/>
  <c r="G3133"/>
  <c r="G3134"/>
  <c r="G3136"/>
  <c r="G3135"/>
  <c r="G3137"/>
  <c r="G3139"/>
  <c r="G3140"/>
  <c r="G3138"/>
  <c r="G3141"/>
  <c r="G3143"/>
  <c r="G3142"/>
  <c r="G3144"/>
  <c r="G3145"/>
  <c r="G3146"/>
  <c r="G3147"/>
  <c r="G3148"/>
  <c r="G3149"/>
  <c r="G3150"/>
  <c r="G3151"/>
  <c r="G3152"/>
  <c r="G3153"/>
  <c r="G3154"/>
  <c r="G3155"/>
  <c r="G3156"/>
  <c r="G3157"/>
  <c r="G3158"/>
  <c r="G3160"/>
  <c r="G3159"/>
  <c r="G3161"/>
  <c r="G3162"/>
  <c r="G3163"/>
  <c r="G3164"/>
  <c r="G3165"/>
  <c r="G3166"/>
  <c r="G3167"/>
  <c r="G3168"/>
  <c r="G3169"/>
  <c r="G3171"/>
  <c r="G3173"/>
  <c r="G3172"/>
  <c r="G3174"/>
  <c r="G3170"/>
  <c r="G3175"/>
  <c r="G3176"/>
  <c r="G3177"/>
  <c r="G3178"/>
  <c r="G3179"/>
  <c r="G3180"/>
  <c r="G3181"/>
  <c r="G3182"/>
  <c r="G3183"/>
  <c r="G3184"/>
  <c r="G3186"/>
  <c r="G3185"/>
  <c r="G3187"/>
  <c r="G3188"/>
  <c r="G3189"/>
  <c r="G3190"/>
  <c r="G3192"/>
  <c r="G3191"/>
  <c r="G3194"/>
  <c r="G3193"/>
  <c r="G3195"/>
  <c r="G3197"/>
  <c r="G3196"/>
  <c r="G3198"/>
  <c r="G3199"/>
  <c r="G3200"/>
  <c r="G3201"/>
  <c r="G3202"/>
  <c r="G3203"/>
  <c r="G3204"/>
  <c r="G3205"/>
  <c r="G3206"/>
  <c r="G3207"/>
  <c r="G3210"/>
  <c r="G3209"/>
  <c r="G3208"/>
  <c r="G3214"/>
  <c r="G3213"/>
  <c r="G3216"/>
  <c r="G3211"/>
  <c r="G3212"/>
  <c r="G3215"/>
  <c r="G3217"/>
  <c r="G3218"/>
  <c r="G3219"/>
  <c r="G3221"/>
  <c r="G3220"/>
  <c r="G3222"/>
  <c r="G3223"/>
  <c r="G3224"/>
  <c r="G3225"/>
  <c r="G3226"/>
  <c r="G3227"/>
  <c r="G3228"/>
  <c r="G3229"/>
  <c r="G3230"/>
  <c r="G3231"/>
  <c r="G3232"/>
  <c r="G3233"/>
  <c r="G3235"/>
  <c r="G3234"/>
  <c r="G3236"/>
  <c r="G3237"/>
  <c r="G3238"/>
  <c r="G3239"/>
  <c r="G3240"/>
  <c r="G3241"/>
  <c r="G3242"/>
  <c r="G3243"/>
  <c r="G3245"/>
  <c r="G3244"/>
  <c r="G3246"/>
  <c r="G3247"/>
  <c r="G3248"/>
  <c r="G3254"/>
  <c r="G3252"/>
  <c r="G3255"/>
  <c r="G3251"/>
  <c r="G3250"/>
  <c r="G3249"/>
  <c r="G3253"/>
  <c r="G3256"/>
  <c r="G3259"/>
  <c r="G3260"/>
  <c r="G3258"/>
  <c r="G3261"/>
  <c r="G3262"/>
  <c r="G3257"/>
  <c r="G3263"/>
  <c r="G3266"/>
  <c r="G3264"/>
  <c r="G3273"/>
  <c r="G3265"/>
  <c r="G3268"/>
  <c r="G3272"/>
  <c r="G3270"/>
  <c r="G3267"/>
  <c r="G3269"/>
  <c r="G3271"/>
  <c r="G3274"/>
  <c r="G3275"/>
  <c r="G3276"/>
  <c r="G3277"/>
  <c r="G3278"/>
  <c r="G3279"/>
  <c r="G3280"/>
  <c r="G3281"/>
  <c r="G3282"/>
  <c r="G3283"/>
  <c r="G3284"/>
  <c r="G3286"/>
  <c r="G3285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6"/>
  <c r="G3317"/>
  <c r="G3319"/>
  <c r="G3318"/>
  <c r="G3315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9"/>
  <c r="G3350"/>
  <c r="G3355"/>
  <c r="G3351"/>
  <c r="G3354"/>
  <c r="G3348"/>
  <c r="G3357"/>
  <c r="G3356"/>
  <c r="G3347"/>
  <c r="G3353"/>
  <c r="G3346"/>
  <c r="G3352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1"/>
  <c r="G3380"/>
  <c r="G3382"/>
  <c r="G3383"/>
  <c r="G3384"/>
  <c r="G3385"/>
  <c r="G3391"/>
  <c r="G3388"/>
  <c r="G3398"/>
  <c r="G3399"/>
  <c r="G3392"/>
  <c r="G3386"/>
  <c r="G3387"/>
  <c r="G3389"/>
  <c r="G3395"/>
  <c r="G3396"/>
  <c r="G3393"/>
  <c r="G3394"/>
  <c r="G3390"/>
  <c r="G3400"/>
  <c r="G3397"/>
  <c r="G3401"/>
  <c r="G3402"/>
  <c r="G3403"/>
  <c r="G3404"/>
  <c r="G3408"/>
  <c r="G3405"/>
  <c r="G3406"/>
  <c r="G3409"/>
  <c r="G3407"/>
  <c r="G3410"/>
  <c r="G3411"/>
  <c r="G3412"/>
  <c r="G3413"/>
  <c r="G3414"/>
  <c r="G3415"/>
  <c r="G3416"/>
  <c r="G3418"/>
  <c r="G3417"/>
  <c r="G3419"/>
  <c r="G3420"/>
  <c r="G3422"/>
  <c r="G3421"/>
  <c r="G3426"/>
  <c r="G3423"/>
  <c r="G3425"/>
  <c r="G3424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7"/>
  <c r="G3456"/>
  <c r="G3458"/>
  <c r="G3459"/>
  <c r="G3455"/>
  <c r="G3460"/>
  <c r="G3461"/>
  <c r="G3462"/>
  <c r="G3463"/>
  <c r="G3464"/>
  <c r="G3465"/>
  <c r="G3472"/>
  <c r="G3466"/>
  <c r="G3471"/>
  <c r="G3468"/>
  <c r="G3470"/>
  <c r="G3469"/>
  <c r="G3473"/>
  <c r="G3467"/>
  <c r="G3474"/>
  <c r="G3475"/>
  <c r="G3476"/>
  <c r="G3477"/>
  <c r="G3478"/>
  <c r="G3479"/>
  <c r="G3480"/>
  <c r="G3481"/>
  <c r="G3482"/>
  <c r="G3483"/>
  <c r="G3484"/>
  <c r="G3486"/>
  <c r="G3485"/>
  <c r="G3487"/>
  <c r="G3488"/>
  <c r="G3490"/>
  <c r="G3489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13"/>
  <c r="G3509"/>
  <c r="G3511"/>
  <c r="G3512"/>
  <c r="G3510"/>
  <c r="G3514"/>
  <c r="G3515"/>
  <c r="G3516"/>
  <c r="G3517"/>
  <c r="G3518"/>
  <c r="G3519"/>
  <c r="G3520"/>
  <c r="G3521"/>
  <c r="G3522"/>
  <c r="G3523"/>
  <c r="G3524"/>
  <c r="G3525"/>
  <c r="G3526"/>
  <c r="G3527"/>
  <c r="G3529"/>
  <c r="G3528"/>
  <c r="G3530"/>
  <c r="G3536"/>
  <c r="G3533"/>
  <c r="G3544"/>
  <c r="G3541"/>
  <c r="G3535"/>
  <c r="G3532"/>
  <c r="G3539"/>
  <c r="G3543"/>
  <c r="G3531"/>
  <c r="G3534"/>
  <c r="G3538"/>
  <c r="G3537"/>
  <c r="G3542"/>
  <c r="G3540"/>
  <c r="G3545"/>
  <c r="G3546"/>
  <c r="G3547"/>
  <c r="G3548"/>
  <c r="G3549"/>
  <c r="G3550"/>
  <c r="G3551"/>
  <c r="G3552"/>
  <c r="G3553"/>
  <c r="G3554"/>
  <c r="G3556"/>
  <c r="G3555"/>
  <c r="G3557"/>
  <c r="G3558"/>
  <c r="G3559"/>
  <c r="G3560"/>
  <c r="G3561"/>
  <c r="G3562"/>
  <c r="G3563"/>
  <c r="G3564"/>
  <c r="G3565"/>
  <c r="G3566"/>
  <c r="G3567"/>
  <c r="G3568"/>
  <c r="G3569"/>
  <c r="G3570"/>
  <c r="G3572"/>
  <c r="G3571"/>
  <c r="G3573"/>
  <c r="G3578"/>
  <c r="G3577"/>
  <c r="G3579"/>
  <c r="G3574"/>
  <c r="G3575"/>
  <c r="G3581"/>
  <c r="G3576"/>
  <c r="G3580"/>
  <c r="G3582"/>
  <c r="G3583"/>
  <c r="G3584"/>
  <c r="G3585"/>
  <c r="G3586"/>
  <c r="G3588"/>
  <c r="G3587"/>
  <c r="G3589"/>
  <c r="G3590"/>
  <c r="G3591"/>
  <c r="G3592"/>
  <c r="G3594"/>
  <c r="G3593"/>
  <c r="G3595"/>
  <c r="G3596"/>
  <c r="G3597"/>
  <c r="G3598"/>
  <c r="G3599"/>
  <c r="G3600"/>
  <c r="G3601"/>
  <c r="G3602"/>
  <c r="G3603"/>
  <c r="G3604"/>
  <c r="G3607"/>
  <c r="G3606"/>
  <c r="G3605"/>
  <c r="G3608"/>
  <c r="G3609"/>
  <c r="G3612"/>
  <c r="G3610"/>
  <c r="G3611"/>
  <c r="G3614"/>
  <c r="G3613"/>
  <c r="G3615"/>
  <c r="G3618"/>
  <c r="G3617"/>
  <c r="G3616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9"/>
  <c r="G3637"/>
  <c r="G3644"/>
  <c r="G3638"/>
  <c r="G3643"/>
  <c r="G3641"/>
  <c r="G3642"/>
  <c r="G3636"/>
  <c r="G3640"/>
  <c r="G3645"/>
  <c r="G3646"/>
  <c r="G3647"/>
  <c r="G3648"/>
  <c r="G3649"/>
  <c r="G3650"/>
  <c r="G3651"/>
  <c r="G3652"/>
  <c r="G3653"/>
  <c r="G3654"/>
  <c r="G3655"/>
  <c r="G3656"/>
  <c r="G3657"/>
  <c r="G3662"/>
  <c r="G3666"/>
  <c r="G3660"/>
  <c r="G3658"/>
  <c r="G3659"/>
  <c r="G3661"/>
  <c r="G3663"/>
  <c r="G3664"/>
  <c r="G3665"/>
  <c r="G3667"/>
  <c r="G3669"/>
  <c r="G3671"/>
  <c r="G3668"/>
  <c r="G3672"/>
  <c r="G3670"/>
  <c r="G3673"/>
  <c r="G3674"/>
  <c r="G3675"/>
  <c r="G3676"/>
  <c r="G3678"/>
  <c r="G3677"/>
  <c r="G3679"/>
  <c r="G3680"/>
  <c r="G3682"/>
  <c r="G3681"/>
  <c r="G3683"/>
  <c r="G3686"/>
  <c r="G3685"/>
  <c r="G3684"/>
  <c r="G3688"/>
  <c r="G3687"/>
  <c r="G3689"/>
  <c r="G3690"/>
  <c r="G3691"/>
  <c r="G3692"/>
  <c r="G3694"/>
  <c r="G3693"/>
  <c r="G3695"/>
  <c r="G3696"/>
  <c r="G3697"/>
  <c r="G3698"/>
  <c r="G3699"/>
  <c r="G3700"/>
  <c r="G3701"/>
  <c r="G3702"/>
  <c r="G3706"/>
  <c r="G3704"/>
  <c r="G3708"/>
  <c r="G3705"/>
  <c r="G3703"/>
  <c r="G3707"/>
  <c r="G3709"/>
  <c r="G3716"/>
  <c r="G3711"/>
  <c r="G3717"/>
  <c r="G3710"/>
  <c r="G3715"/>
  <c r="G3713"/>
  <c r="G3712"/>
  <c r="G3714"/>
  <c r="G3718"/>
  <c r="G3719"/>
  <c r="G3721"/>
  <c r="G3720"/>
  <c r="G3722"/>
  <c r="G3723"/>
  <c r="G3724"/>
  <c r="G3725"/>
  <c r="G3726"/>
  <c r="G3729"/>
  <c r="G3728"/>
  <c r="G3727"/>
  <c r="G3730"/>
  <c r="G3732"/>
  <c r="G3731"/>
  <c r="G3733"/>
  <c r="G3734"/>
  <c r="G3735"/>
  <c r="G3736"/>
  <c r="G3737"/>
  <c r="G3738"/>
  <c r="G3739"/>
  <c r="G3740"/>
  <c r="G3741"/>
  <c r="G3742"/>
  <c r="G3743"/>
  <c r="G3744"/>
  <c r="G3747"/>
  <c r="G3745"/>
  <c r="G3746"/>
  <c r="G3748"/>
  <c r="G3749"/>
  <c r="G3750"/>
  <c r="G3751"/>
  <c r="G3752"/>
  <c r="G3753"/>
  <c r="G3754"/>
  <c r="G3755"/>
  <c r="G3756"/>
  <c r="G3757"/>
  <c r="G3758"/>
  <c r="G3759"/>
  <c r="G3760"/>
  <c r="G3762"/>
  <c r="G3761"/>
  <c r="G3780"/>
  <c r="G3766"/>
  <c r="G3771"/>
  <c r="G3774"/>
  <c r="G3776"/>
  <c r="G3768"/>
  <c r="G3779"/>
  <c r="G3781"/>
  <c r="G3770"/>
  <c r="G3775"/>
  <c r="G3763"/>
  <c r="G3778"/>
  <c r="G3772"/>
  <c r="G3777"/>
  <c r="G3764"/>
  <c r="G3769"/>
  <c r="G3765"/>
  <c r="G3767"/>
  <c r="G3773"/>
  <c r="G3782"/>
  <c r="G3783"/>
  <c r="G3784"/>
  <c r="G3785"/>
  <c r="G3786"/>
  <c r="G3787"/>
  <c r="G3788"/>
  <c r="G3789"/>
  <c r="G3790"/>
  <c r="G3791"/>
  <c r="G3792"/>
  <c r="G3793"/>
  <c r="G3795"/>
  <c r="G3797"/>
  <c r="G3796"/>
  <c r="G3794"/>
  <c r="G3798"/>
  <c r="G3799"/>
  <c r="G3800"/>
  <c r="G3801"/>
  <c r="G3802"/>
  <c r="G3805"/>
  <c r="G3803"/>
  <c r="G3806"/>
  <c r="G3804"/>
  <c r="G3807"/>
  <c r="G3815"/>
  <c r="G3813"/>
  <c r="G3816"/>
  <c r="G3809"/>
  <c r="G3812"/>
  <c r="G3810"/>
  <c r="G3808"/>
  <c r="G3811"/>
  <c r="G3814"/>
  <c r="G3817"/>
  <c r="G3818"/>
  <c r="G3820"/>
  <c r="G3819"/>
  <c r="G3821"/>
  <c r="G3822"/>
  <c r="G3823"/>
  <c r="G3824"/>
  <c r="G3825"/>
  <c r="G3826"/>
  <c r="G3827"/>
  <c r="G3828"/>
  <c r="G3829"/>
  <c r="G3830"/>
  <c r="G3831"/>
  <c r="G3832"/>
  <c r="G3834"/>
  <c r="G3833"/>
  <c r="G3835"/>
  <c r="G3836"/>
  <c r="G3837"/>
  <c r="G3840"/>
  <c r="G3839"/>
  <c r="G3838"/>
  <c r="G3841"/>
  <c r="G3842"/>
  <c r="G3843"/>
  <c r="G3844"/>
  <c r="G3845"/>
  <c r="G3846"/>
  <c r="G3847"/>
  <c r="G3848"/>
  <c r="G3849"/>
  <c r="G3850"/>
  <c r="G3851"/>
  <c r="G3854"/>
  <c r="G3852"/>
  <c r="G3853"/>
  <c r="G3855"/>
  <c r="G3859"/>
  <c r="G3860"/>
  <c r="G3858"/>
  <c r="G3856"/>
  <c r="G3861"/>
  <c r="G3857"/>
  <c r="G3863"/>
  <c r="G3862"/>
  <c r="G3865"/>
  <c r="G3864"/>
  <c r="G3866"/>
  <c r="G3867"/>
  <c r="G3868"/>
  <c r="G3869"/>
  <c r="G3870"/>
  <c r="G3880"/>
  <c r="G3881"/>
  <c r="G3875"/>
  <c r="G3885"/>
  <c r="G3882"/>
  <c r="G3874"/>
  <c r="G3877"/>
  <c r="G3872"/>
  <c r="G3871"/>
  <c r="G3879"/>
  <c r="G3876"/>
  <c r="G3878"/>
  <c r="G3886"/>
  <c r="G3884"/>
  <c r="G3873"/>
  <c r="G3883"/>
  <c r="G3887"/>
  <c r="G3890"/>
  <c r="G3893"/>
  <c r="G3891"/>
  <c r="G3892"/>
  <c r="G3895"/>
  <c r="G3894"/>
  <c r="G3889"/>
  <c r="G3888"/>
  <c r="G3896"/>
  <c r="G3897"/>
  <c r="G3899"/>
  <c r="G3898"/>
  <c r="G3900"/>
  <c r="G3901"/>
  <c r="G3902"/>
  <c r="G3903"/>
  <c r="G3907"/>
  <c r="G3906"/>
  <c r="G3904"/>
  <c r="G3905"/>
  <c r="G3908"/>
  <c r="G3910"/>
  <c r="G3909"/>
  <c r="G3915"/>
  <c r="G3911"/>
  <c r="G3912"/>
  <c r="G3913"/>
  <c r="G3916"/>
  <c r="G3914"/>
  <c r="G3919"/>
  <c r="G3926"/>
  <c r="G3924"/>
  <c r="G3921"/>
  <c r="G3925"/>
  <c r="G3923"/>
  <c r="G3927"/>
  <c r="G3922"/>
  <c r="G3920"/>
  <c r="G3917"/>
  <c r="G3918"/>
  <c r="G3928"/>
  <c r="G3929"/>
  <c r="G3930"/>
  <c r="G3931"/>
  <c r="G3932"/>
  <c r="G3933"/>
  <c r="G3935"/>
  <c r="G3934"/>
  <c r="G3936"/>
  <c r="G3940"/>
  <c r="G3941"/>
  <c r="G3938"/>
  <c r="G3937"/>
  <c r="G3939"/>
  <c r="G3942"/>
  <c r="G3943"/>
  <c r="G3944"/>
  <c r="G3945"/>
  <c r="G3946"/>
  <c r="G3947"/>
  <c r="G3963"/>
  <c r="G3952"/>
  <c r="G3958"/>
  <c r="G3948"/>
  <c r="G3955"/>
  <c r="G3960"/>
  <c r="G3954"/>
  <c r="G3956"/>
  <c r="G3965"/>
  <c r="G3957"/>
  <c r="G3961"/>
  <c r="G3953"/>
  <c r="G3949"/>
  <c r="G3950"/>
  <c r="G3964"/>
  <c r="G3959"/>
  <c r="G3951"/>
  <c r="G3962"/>
  <c r="G3966"/>
  <c r="G3968"/>
  <c r="G3967"/>
  <c r="G3971"/>
  <c r="G3970"/>
  <c r="G3972"/>
  <c r="G3969"/>
  <c r="G3973"/>
  <c r="G3974"/>
  <c r="G3977"/>
  <c r="G3975"/>
  <c r="G3980"/>
  <c r="G3978"/>
  <c r="G3976"/>
  <c r="G3981"/>
  <c r="G3979"/>
  <c r="G3987"/>
  <c r="G3988"/>
  <c r="G3989"/>
  <c r="G3983"/>
  <c r="G3990"/>
  <c r="G3985"/>
  <c r="G3986"/>
  <c r="G3984"/>
  <c r="G3982"/>
  <c r="G3991"/>
  <c r="G3994"/>
  <c r="G4000"/>
  <c r="G4001"/>
  <c r="G3993"/>
  <c r="G3992"/>
  <c r="G3999"/>
  <c r="G3996"/>
  <c r="G3997"/>
  <c r="G3995"/>
  <c r="G3998"/>
  <c r="G4002"/>
  <c r="G4003"/>
  <c r="G4006"/>
  <c r="G4004"/>
  <c r="G4005"/>
  <c r="G4007"/>
  <c r="G4008"/>
  <c r="G4009"/>
  <c r="G4012"/>
  <c r="G4011"/>
  <c r="G4013"/>
  <c r="G4010"/>
  <c r="G4014"/>
  <c r="G4015"/>
  <c r="G4016"/>
  <c r="G4017"/>
  <c r="G4018"/>
  <c r="G4028"/>
  <c r="G4022"/>
  <c r="G4024"/>
  <c r="G4021"/>
  <c r="G4025"/>
  <c r="G4023"/>
  <c r="G4020"/>
  <c r="G4019"/>
  <c r="G4027"/>
  <c r="G4026"/>
  <c r="G4029"/>
  <c r="G4030"/>
  <c r="G4031"/>
  <c r="G4032"/>
  <c r="G4044"/>
  <c r="G4035"/>
  <c r="G4033"/>
  <c r="G4034"/>
  <c r="G4043"/>
  <c r="G4039"/>
  <c r="G4042"/>
  <c r="G4037"/>
  <c r="G4041"/>
  <c r="G4036"/>
  <c r="G4038"/>
  <c r="G4040"/>
  <c r="G4045"/>
  <c r="G4047"/>
  <c r="G4046"/>
  <c r="G4048"/>
  <c r="G4049"/>
  <c r="G4050"/>
  <c r="G4051"/>
  <c r="G4052"/>
  <c r="G4056"/>
  <c r="G4061"/>
  <c r="G4054"/>
  <c r="G4060"/>
  <c r="G4055"/>
  <c r="G4058"/>
  <c r="G4053"/>
  <c r="G4057"/>
  <c r="G4059"/>
  <c r="G4062"/>
  <c r="G4071"/>
  <c r="G4065"/>
  <c r="G4068"/>
  <c r="G4070"/>
  <c r="G4069"/>
  <c r="G4067"/>
  <c r="G4063"/>
  <c r="G4066"/>
  <c r="G4064"/>
  <c r="G4072"/>
  <c r="G4073"/>
  <c r="G4087"/>
  <c r="G4090"/>
  <c r="G4093"/>
  <c r="G4080"/>
  <c r="G4081"/>
  <c r="G4089"/>
  <c r="G4082"/>
  <c r="G4085"/>
  <c r="G4074"/>
  <c r="G4079"/>
  <c r="G4086"/>
  <c r="G4092"/>
  <c r="G4095"/>
  <c r="G4083"/>
  <c r="G4094"/>
  <c r="G4084"/>
  <c r="G4075"/>
  <c r="G4096"/>
  <c r="G4078"/>
  <c r="G4076"/>
  <c r="G4088"/>
  <c r="G4077"/>
  <c r="G4091"/>
  <c r="G4097"/>
  <c r="G4099"/>
  <c r="G4101"/>
  <c r="G4103"/>
  <c r="G4100"/>
  <c r="G4098"/>
  <c r="G4102"/>
  <c r="G4104"/>
  <c r="G4105"/>
  <c r="G4107"/>
  <c r="G4106"/>
  <c r="G4108"/>
  <c r="G4135"/>
  <c r="G4113"/>
  <c r="G4126"/>
  <c r="G4120"/>
  <c r="G4121"/>
  <c r="G4131"/>
  <c r="G4127"/>
  <c r="G4110"/>
  <c r="G4124"/>
  <c r="G4111"/>
  <c r="G4128"/>
  <c r="G4125"/>
  <c r="G4112"/>
  <c r="G4109"/>
  <c r="G4123"/>
  <c r="G4134"/>
  <c r="G4122"/>
  <c r="G4129"/>
  <c r="G4116"/>
  <c r="G4130"/>
  <c r="G4119"/>
  <c r="G4115"/>
  <c r="G4132"/>
  <c r="G4136"/>
  <c r="G4118"/>
  <c r="G4133"/>
  <c r="G4117"/>
  <c r="G4114"/>
</calcChain>
</file>

<file path=xl/sharedStrings.xml><?xml version="1.0" encoding="utf-8"?>
<sst xmlns="http://schemas.openxmlformats.org/spreadsheetml/2006/main" count="16593" uniqueCount="8435">
  <si>
    <t>ΔΕΥΤΕΡΟΒΑΘΜΙΑΣ ΕΚΠΑΙΔΕΥΣΗΣ (ΔΕ)</t>
  </si>
  <si>
    <t>ΔΕ01 ΕΙΔΙΚΟΥ ΒΟΗΘΗΤΙΚΟΥ ΠΡΟΣΩΠΙΚΟΥ (ΘΕΣΗ 101)</t>
  </si>
  <si>
    <t>Α/Α</t>
  </si>
  <si>
    <t>Α.Μ.</t>
  </si>
  <si>
    <t>ΕΠΩΝΥΜΟ</t>
  </si>
  <si>
    <t>ΟΝΟΜΑ</t>
  </si>
  <si>
    <t>ΠΑΤΡΩΝΥΜΟ</t>
  </si>
  <si>
    <t>Α.Δ.Τ.</t>
  </si>
  <si>
    <t>ΜΟΝΑΔΙΚΟΣ ΚΩΔΙΚΟΣ</t>
  </si>
  <si>
    <t>ΒΑΘΜΟΛΟΓΙΑ</t>
  </si>
  <si>
    <t>ΣΙΣΜΑΝΙΔΟΥ</t>
  </si>
  <si>
    <t>ΚΑΤΙΝΑ</t>
  </si>
  <si>
    <t>ΓΡΗΓΟΡΙΟΣ</t>
  </si>
  <si>
    <t>Μ555694</t>
  </si>
  <si>
    <t>ΜΠΙΝΙΑΡΗ</t>
  </si>
  <si>
    <t>ΓΕΩΡΓΙΟΣ</t>
  </si>
  <si>
    <t>ΑΒ264736</t>
  </si>
  <si>
    <t>ΕΛΙΣΣΑΒΕΤ</t>
  </si>
  <si>
    <t>ΙΩΑΝΝΗΣ</t>
  </si>
  <si>
    <t>ΔΟΒΑ</t>
  </si>
  <si>
    <t>ΙΩΑΝΝΑ</t>
  </si>
  <si>
    <t>ΧΑΡΙΛΑΟΣ</t>
  </si>
  <si>
    <t>ΑΡ343040</t>
  </si>
  <si>
    <t>ΒΕΤΣΙΚΑ</t>
  </si>
  <si>
    <t>ΕΥΑΓΓΕΛΙΑ</t>
  </si>
  <si>
    <t>Χ638703</t>
  </si>
  <si>
    <t>ΠΑΠΠΑ</t>
  </si>
  <si>
    <t>ΜΑΡΙΑ</t>
  </si>
  <si>
    <t>ΒΑΣΙΛΕΙΟΣ</t>
  </si>
  <si>
    <t>ΑΖ799911</t>
  </si>
  <si>
    <t>ΤΣΑΚΩΝΑ</t>
  </si>
  <si>
    <t>ΕΙΡΗΝΗ</t>
  </si>
  <si>
    <t>ΗΛΙΑΣ</t>
  </si>
  <si>
    <t>ΑΙ794669</t>
  </si>
  <si>
    <t>ΤΣΙΛΙΚΑ</t>
  </si>
  <si>
    <t>ΠΑΡΑΣΚΕΥΗ</t>
  </si>
  <si>
    <t>ΔΗΜΗΤΡΙΟΣ</t>
  </si>
  <si>
    <t>Ρ232651</t>
  </si>
  <si>
    <t>ΤΣΙΛΙΚΟΥ</t>
  </si>
  <si>
    <t>ΑΙΚΑΤΕΡΙΝΗ</t>
  </si>
  <si>
    <t>ΑΜ773252</t>
  </si>
  <si>
    <t>ΒΑΤΖΑΝΟ</t>
  </si>
  <si>
    <t>ΚΑΡΜΕΛΑ</t>
  </si>
  <si>
    <t>ΠΙΕΤΡΟ</t>
  </si>
  <si>
    <t>Χ972153</t>
  </si>
  <si>
    <t>ΠΟΛΥΖΟΥ</t>
  </si>
  <si>
    <t>ΠΟΛΥΞΕΝΗ</t>
  </si>
  <si>
    <t>Χ478331</t>
  </si>
  <si>
    <t>ΣΜΙΛΙΔΟΥ</t>
  </si>
  <si>
    <t>ΝΙΚΟΛΕΤΑ</t>
  </si>
  <si>
    <t>ΠΕΤΡΟΣ</t>
  </si>
  <si>
    <t>ΑΚ921709</t>
  </si>
  <si>
    <t>ΕΛΕΝΗ</t>
  </si>
  <si>
    <t>ΑΠΟΣΤΟΛΟΣ</t>
  </si>
  <si>
    <t>ΚΑΡΑΛΑΝΙΔΟΥ</t>
  </si>
  <si>
    <t>ΜΑΚΡΙΝΑ</t>
  </si>
  <si>
    <t>ΠΑΣΧΑΛΗΣ</t>
  </si>
  <si>
    <t>Χ438829</t>
  </si>
  <si>
    <t>ΑΝΤΩΝΙΟΥ</t>
  </si>
  <si>
    <t>ΜΑΛΑΜΑΤΗ</t>
  </si>
  <si>
    <t>ΜΙΧΑΗΛ</t>
  </si>
  <si>
    <t>ΑΜ674424</t>
  </si>
  <si>
    <t>ΤΣΟΥΚΝΙΔΑ</t>
  </si>
  <si>
    <t>ΝΕΚΤΑΡΙΑ</t>
  </si>
  <si>
    <t>Χ509292</t>
  </si>
  <si>
    <t>ΦΩΤΙΑΔΟΥ</t>
  </si>
  <si>
    <t>ΧΡΗΣΤΟΣ</t>
  </si>
  <si>
    <t>ΑΖ349036</t>
  </si>
  <si>
    <t>ΧΑΝΤΖΑΡΙΔΟΥ</t>
  </si>
  <si>
    <t>ΕΛΙΣΑΒΕΤ</t>
  </si>
  <si>
    <t>ΚΛΗΜΗΣ</t>
  </si>
  <si>
    <t>ΑΚ891915</t>
  </si>
  <si>
    <t>ΜΙΧΑΗΛΙΔΟΥ</t>
  </si>
  <si>
    <t>ΤΡΙΑΝΤΑΦΥΛΛΙΑ ΜΑΡΙΑ</t>
  </si>
  <si>
    <t>ΠΡΟΥΣΕΥΣ</t>
  </si>
  <si>
    <t>Χ579018</t>
  </si>
  <si>
    <t>ΜΑΝΤΑΛΙΔΟΥ</t>
  </si>
  <si>
    <t>ΚΥΡΙΑΚΟΣ</t>
  </si>
  <si>
    <t>ΑΕ863907</t>
  </si>
  <si>
    <t>ΚΩΝΣΤΑΝΤΙΝΟΣ</t>
  </si>
  <si>
    <t>ΚΟΥΡΗ</t>
  </si>
  <si>
    <t>ΕΥΓΕΝΙΟΣ</t>
  </si>
  <si>
    <t>ΑΖ837614</t>
  </si>
  <si>
    <t>ΜΠΑΚΑΤΣΑΚΗ</t>
  </si>
  <si>
    <t>ΑΗ472763</t>
  </si>
  <si>
    <t>ΣΚΙΡΤΑ</t>
  </si>
  <si>
    <t>ΓΕΩΡΓΙΑ</t>
  </si>
  <si>
    <t>ΑΕ409512</t>
  </si>
  <si>
    <t>ΤΑΤΙΓΙΑΝΝΗ</t>
  </si>
  <si>
    <t>ΑΝΑΣΤΑΣΙΟΣ</t>
  </si>
  <si>
    <t>Τ373372</t>
  </si>
  <si>
    <t>ΓΕΩΡΓΙΟΥ</t>
  </si>
  <si>
    <t>ΑΡΣΕΝΙΟΣ</t>
  </si>
  <si>
    <t>ΑΙ260026</t>
  </si>
  <si>
    <t>ΚΕΡΛΟΒΑ</t>
  </si>
  <si>
    <t>ΑΝΝΑ</t>
  </si>
  <si>
    <t>Χ890668</t>
  </si>
  <si>
    <t>ΜΗΛΗ</t>
  </si>
  <si>
    <t>ΔΗΜΗΤΡΑ</t>
  </si>
  <si>
    <t>ΦΙΛΙΠΠΟΣ</t>
  </si>
  <si>
    <t>Ν662723</t>
  </si>
  <si>
    <t>ΘΕΟΧΑΡΟΠΟΥΛΟΥ</t>
  </si>
  <si>
    <t>ΗΛΙΑΝΑ</t>
  </si>
  <si>
    <t>ΟΡΕΣΤΗΣ</t>
  </si>
  <si>
    <t>ΑΟ403761</t>
  </si>
  <si>
    <t>ΔΕΡΔΕΛΑΚΟΥ</t>
  </si>
  <si>
    <t>Χ576853</t>
  </si>
  <si>
    <t>ΓΚΙΟΥΛΟΓΛΟΥ</t>
  </si>
  <si>
    <t>ΠΑΝΑΓΙΩΤΑ</t>
  </si>
  <si>
    <t>ΑΝ094844</t>
  </si>
  <si>
    <t>ΜΠΑΦΑ</t>
  </si>
  <si>
    <t>ΑΚ383495</t>
  </si>
  <si>
    <t>ΣΤΑΥΡΟΥ</t>
  </si>
  <si>
    <t>ΝΙΚΗ</t>
  </si>
  <si>
    <t>ΜΠΑΞΕΒΑΝΗ</t>
  </si>
  <si>
    <t>ΠΑΝΑΓΙΩΤΗΣ</t>
  </si>
  <si>
    <t>Χ317957</t>
  </si>
  <si>
    <t>ΣΟΚΟΡΗ</t>
  </si>
  <si>
    <t>ΜΑΡΙΑ ΕΙΡΗΝΗ</t>
  </si>
  <si>
    <t>ΑΙ897318</t>
  </si>
  <si>
    <t>ΤΣΙΡΙΓΩΤΗ</t>
  </si>
  <si>
    <t>ΜΑΡΙΑ ΑΓΓΕΛΙΚΗ</t>
  </si>
  <si>
    <t>ΕΥΑΓΓΕΛΟΣ</t>
  </si>
  <si>
    <t>ΑΕ984148</t>
  </si>
  <si>
    <t>ΑΝΤΙΓΟΝΗ</t>
  </si>
  <si>
    <t>ΠΑΠΑΟΙΚΟΝΟΜΟΥ</t>
  </si>
  <si>
    <t>ΞΑΝΘΙΠΠΗ</t>
  </si>
  <si>
    <t>Χ700899</t>
  </si>
  <si>
    <t>ΝΑΙ</t>
  </si>
  <si>
    <t>ΓΙΟΥΡΟΥ</t>
  </si>
  <si>
    <t>ΑΝΑΣΤΑΣΙΑ</t>
  </si>
  <si>
    <t>ΑΝ898909</t>
  </si>
  <si>
    <t>ΝΙΤΗ</t>
  </si>
  <si>
    <t>ΚΕΡΑΣΙΑ</t>
  </si>
  <si>
    <t>ΝΙΚΟΛΑΟΣ</t>
  </si>
  <si>
    <t>Χ601592</t>
  </si>
  <si>
    <t>ΜΙΓΚΟΥ</t>
  </si>
  <si>
    <t>ΣΤΑΜΑΤΙΑ</t>
  </si>
  <si>
    <t>ΠΟΛΥΝΙΚΗΣ</t>
  </si>
  <si>
    <t>ΑΡ342431</t>
  </si>
  <si>
    <t>ΤΣΙΚΑ</t>
  </si>
  <si>
    <t>ΑΘΗΝΑ</t>
  </si>
  <si>
    <t>ΑΕ331241</t>
  </si>
  <si>
    <t>ΜΑΖΩΝΑΚΗ</t>
  </si>
  <si>
    <t>Π202361</t>
  </si>
  <si>
    <t>ΘΕΟΔΩΡΑ</t>
  </si>
  <si>
    <t>ΚΑΤΡΑΚΑΖΟΥ</t>
  </si>
  <si>
    <t>ΚΥΡΙΑΚΗ</t>
  </si>
  <si>
    <t>ΠΑΡΙΣ</t>
  </si>
  <si>
    <t>ΑΖ636391</t>
  </si>
  <si>
    <t>ΜΠΡΙΝΙΑ</t>
  </si>
  <si>
    <t>ΑΕ005501</t>
  </si>
  <si>
    <t xml:space="preserve">ΦΡΑΓΚΙΑΔΑΚΗ </t>
  </si>
  <si>
    <t>ΑΜ959762</t>
  </si>
  <si>
    <t>ΚΑΡΑΜΠΙΝΗ</t>
  </si>
  <si>
    <t>ΑΔΑΜΑΝΤΙΑ</t>
  </si>
  <si>
    <t>ΑΘΑΝΑΣΙΟΣ</t>
  </si>
  <si>
    <t>ΑΖ779507</t>
  </si>
  <si>
    <t>ΖΗΛΙΔΟΥ</t>
  </si>
  <si>
    <t>ΣΟΦΙΑ</t>
  </si>
  <si>
    <t>ΑΙ347570</t>
  </si>
  <si>
    <t>ΠΕΛΕΚΑΝΟΥ</t>
  </si>
  <si>
    <t>ΑΙ117059</t>
  </si>
  <si>
    <t>ΒΑΣΙΛΕΙΟΥ</t>
  </si>
  <si>
    <t>ΒΑΣΙΛΙΚΗ</t>
  </si>
  <si>
    <t>ΑΝΔΡΕΑΣ</t>
  </si>
  <si>
    <t>Τ239646</t>
  </si>
  <si>
    <t>ΑΘΑΝΑΣΙΑ</t>
  </si>
  <si>
    <t>ΘΕΟΦΑΝΗΣ</t>
  </si>
  <si>
    <t>ΡΟΚΑ</t>
  </si>
  <si>
    <t>ΖΩΗ</t>
  </si>
  <si>
    <t>ΑΙ988263</t>
  </si>
  <si>
    <t>ΧΑΤΟΥΠΗ</t>
  </si>
  <si>
    <t>ΑΚ487013</t>
  </si>
  <si>
    <t>ΚΟΡΔΕΛΛΙΔΟΥ</t>
  </si>
  <si>
    <t>ΔΕΣΠΟΙΝΑ</t>
  </si>
  <si>
    <t>ΘΕΟΦΙΛΟΣ</t>
  </si>
  <si>
    <t>ΑΜ285682</t>
  </si>
  <si>
    <t>ΠΑΠΑΔΟΠΟΥΛΟΥ</t>
  </si>
  <si>
    <t>ΑΛΕΞΑΝΔΡΑ</t>
  </si>
  <si>
    <t>ΑΛΕΒΙΖΟΥ</t>
  </si>
  <si>
    <t>ΑΙ393642</t>
  </si>
  <si>
    <t>ΣΧΙΣΤΟΧΕΙΛΗ</t>
  </si>
  <si>
    <t>Φ135743</t>
  </si>
  <si>
    <t>ΤΑΜΠΟΥΡΗ</t>
  </si>
  <si>
    <t>ΚΩΝΣΤΑΝΤΙΝΑ</t>
  </si>
  <si>
    <t>ΑΙ243025</t>
  </si>
  <si>
    <t>ΕΜΜΑΝΟΥΗΛ</t>
  </si>
  <si>
    <t>ΑΝ679728</t>
  </si>
  <si>
    <t>ΑΝΔΡΕΑΔΕΛΛΗ</t>
  </si>
  <si>
    <t>ΜΙΛΤΙΑΔΗΣ</t>
  </si>
  <si>
    <t>ΑΚ452375</t>
  </si>
  <si>
    <t>ΧΑΛΚΙΔΟΥ</t>
  </si>
  <si>
    <t>ΑΝΑΣΤΑΣΙΑ ΑΝΑΗΣ</t>
  </si>
  <si>
    <t>ΑΗ318471</t>
  </si>
  <si>
    <t>ΝΙΚΟΛΟΠΟΥΛΟΥ</t>
  </si>
  <si>
    <t>ΣΤΡΑΤΟΥΛΑ</t>
  </si>
  <si>
    <t>ΑΜ345774</t>
  </si>
  <si>
    <t>ΚΟΥΛΙΕΡΗ</t>
  </si>
  <si>
    <t>ΑΚ474037</t>
  </si>
  <si>
    <t>ΧΑΛΙΔΙΑ</t>
  </si>
  <si>
    <t>ΑΒ414844</t>
  </si>
  <si>
    <t>ΚΑΡΑΒΑ</t>
  </si>
  <si>
    <t>ΑΜ387117</t>
  </si>
  <si>
    <t>ΠΕΤΡΑΚΗ</t>
  </si>
  <si>
    <t>ΑΓΓΕΛΙΚΗ</t>
  </si>
  <si>
    <t>ΑΡ297311</t>
  </si>
  <si>
    <t>ΤΣΑΚΑΛΙΔΟΥ</t>
  </si>
  <si>
    <t>Χ818984</t>
  </si>
  <si>
    <t>ΧΑΤΖΗΔΑΚΗ</t>
  </si>
  <si>
    <t>ΕΛΕΥΘΕΡΙΑ</t>
  </si>
  <si>
    <t>ΣΤΑΜΑΤΙΟΣ</t>
  </si>
  <si>
    <t>ΑΕ975491</t>
  </si>
  <si>
    <t>ΤΖΙΑΛΟΠΟΥΛΟΥ</t>
  </si>
  <si>
    <t>Χ182404</t>
  </si>
  <si>
    <t>ΧΑΤΖΗΒΑΣΙΛΕΙΟΥ</t>
  </si>
  <si>
    <t>ΚΑΛΛΙΟΠΗ</t>
  </si>
  <si>
    <t>ΑΙ601689</t>
  </si>
  <si>
    <t>ΜΑΡΓΑΡΙΤΗ</t>
  </si>
  <si>
    <t>ΓΡΑΜΜΕΝΟΣ</t>
  </si>
  <si>
    <t>Π246482</t>
  </si>
  <si>
    <t>ΤΣΙΑΚΟΥΜΑΚΗ</t>
  </si>
  <si>
    <t>ΑΙ246218</t>
  </si>
  <si>
    <t>ΧΡΟΝΗ</t>
  </si>
  <si>
    <t>ΕΥΘΥΜΙΟΣ</t>
  </si>
  <si>
    <t>ΑΑ359933</t>
  </si>
  <si>
    <t>ΣΙΓΑΛΑ</t>
  </si>
  <si>
    <t>ΧΑΡΑΛΑΜΠΟΣ</t>
  </si>
  <si>
    <t>Σ601784</t>
  </si>
  <si>
    <t>ΑΡΑΧΩΒΙΤΗ</t>
  </si>
  <si>
    <t>ΑΜ108659</t>
  </si>
  <si>
    <t>ΤΕΡΝΕΝΟΠΟΥΛΟΥ</t>
  </si>
  <si>
    <t>ΒΑIA</t>
  </si>
  <si>
    <t>ΕΛΕΥΘΕΡΙΟΣ</t>
  </si>
  <si>
    <t>Ρ875266</t>
  </si>
  <si>
    <t>ΒΟΥΤΣΙΝΑ</t>
  </si>
  <si>
    <t>ΓΕΩΡΓΙΑ ΕΛΕΝΗ</t>
  </si>
  <si>
    <t>ΑΝΤΩΝΙΟΣ</t>
  </si>
  <si>
    <t>Φ150748</t>
  </si>
  <si>
    <t>ΚΑΜΠΑΝΗ</t>
  </si>
  <si>
    <t>ΑΗ350192</t>
  </si>
  <si>
    <t>ΓΡΑΒΒΑΝΗ</t>
  </si>
  <si>
    <t>ΔΗΜΗΤΡΟΥΛΑ</t>
  </si>
  <si>
    <t>ΑΜ610972</t>
  </si>
  <si>
    <t>ΚΑΣΣΙΜΗ</t>
  </si>
  <si>
    <t>ΘΡΑΣΥΒΟΥΛΟΣ</t>
  </si>
  <si>
    <t>ΑΚ387777</t>
  </si>
  <si>
    <t>ΖΑΡΑΚΕΛΗ</t>
  </si>
  <si>
    <t>ΧΡΥΣΟΥΛΑ</t>
  </si>
  <si>
    <t>Χ843948</t>
  </si>
  <si>
    <t>ΖΑΡΚΑΔΑ</t>
  </si>
  <si>
    <t>ΧΡΥΣΑΝΘΗ</t>
  </si>
  <si>
    <t>ΠΑΥΛΟΣ</t>
  </si>
  <si>
    <t>ΑΙ475146</t>
  </si>
  <si>
    <t>ΒΑΣΙΛΑΚΗ</t>
  </si>
  <si>
    <t>ΜΑΛΒΙΝΑ</t>
  </si>
  <si>
    <t>ΑΙ954739</t>
  </si>
  <si>
    <t>ΓΟΥΛΑ</t>
  </si>
  <si>
    <t>ΠΕΛΑΓΙΑ</t>
  </si>
  <si>
    <t>Σ887074</t>
  </si>
  <si>
    <t>ΠΑΥΛΙΔΟΥ</t>
  </si>
  <si>
    <t>ΑΝΤΩΝΙΑ</t>
  </si>
  <si>
    <t>ΑΖ807685</t>
  </si>
  <si>
    <t>ΓΚΕΣΟΠΟΥΛΟΥ</t>
  </si>
  <si>
    <t>ΑΗ302664</t>
  </si>
  <si>
    <t>ΤΟΠΤΣΙΚΙΩΤΗ</t>
  </si>
  <si>
    <t>ΜΑΓΔΑΛΗΝΗ</t>
  </si>
  <si>
    <t>ΑΝ775231</t>
  </si>
  <si>
    <t>ΣΙΑΛΔΑ</t>
  </si>
  <si>
    <t>ΓΑΡΥΦΑΛΛΙΑ</t>
  </si>
  <si>
    <t>ΑΚ301486</t>
  </si>
  <si>
    <t>ΑΝ268739</t>
  </si>
  <si>
    <t>ΚΑΡΥΟΦΥΛΛΗ</t>
  </si>
  <si>
    <t>ΚΡΥΣΤΑΛΛΕΝΙΑ</t>
  </si>
  <si>
    <t>ΑΗ348417</t>
  </si>
  <si>
    <t>ΠΟΥΡΝΑΡΚΑ</t>
  </si>
  <si>
    <t>ΣΤΑΥΡΟΥΛΑ</t>
  </si>
  <si>
    <t>Χ315392</t>
  </si>
  <si>
    <t>ΜΕΡΙΑΝΟΥ</t>
  </si>
  <si>
    <t>ΣΠΥΡΙΔΟΥΛΑ</t>
  </si>
  <si>
    <t>Ρ861442</t>
  </si>
  <si>
    <t>ΚΟΥΡΟΥΣΗ</t>
  </si>
  <si>
    <t>ΑΣΠΑΣΙΑ</t>
  </si>
  <si>
    <t>ΑΟ050029</t>
  </si>
  <si>
    <t>ΚΟΥΚΟΥΓΕΩΡΓΟΥ</t>
  </si>
  <si>
    <t>ΓΕΡΑΚΙΝΑ</t>
  </si>
  <si>
    <t>Ρ906164</t>
  </si>
  <si>
    <t>ΣΦΑΚΙΑΝΑΚΗ</t>
  </si>
  <si>
    <t>ΑΟ793758</t>
  </si>
  <si>
    <t>ΠΑΓΚΟΥΡΕΛΙΑ</t>
  </si>
  <si>
    <t>Ρ 891825</t>
  </si>
  <si>
    <t>ΖΑΜΠΟΥΡΛΗ</t>
  </si>
  <si>
    <t>ΔΗΜΟΣ</t>
  </si>
  <si>
    <t>Ρ847188</t>
  </si>
  <si>
    <t>ΠΗΛΙΧΟΥ</t>
  </si>
  <si>
    <t>ΠΑΓΩΝΑ</t>
  </si>
  <si>
    <t>ΠΑΝΑΓΙΩΤ</t>
  </si>
  <si>
    <t>Ν574647</t>
  </si>
  <si>
    <t>ΜΑΡΙΝΟΥ ΞΑΝΘΟΥ</t>
  </si>
  <si>
    <t>Σ678845</t>
  </si>
  <si>
    <t>ΕΥΑΓΓΕΛΑΚΗ</t>
  </si>
  <si>
    <t>ΔΑΝΑΗ</t>
  </si>
  <si>
    <t>ΑΗ815043</t>
  </si>
  <si>
    <t>ΝΤΖΙΒΑΝΑΚΗ</t>
  </si>
  <si>
    <t>ΖΑΧΑΡΙΑΣ</t>
  </si>
  <si>
    <t>Φ058329</t>
  </si>
  <si>
    <t>ΚΑΛΟΣΑΚΑΣ</t>
  </si>
  <si>
    <t>ΓΕΩΡΓ</t>
  </si>
  <si>
    <t>Χ213281</t>
  </si>
  <si>
    <t>ΜΕΛΙΣΣΑΡΗ</t>
  </si>
  <si>
    <t>ΑΚ549657</t>
  </si>
  <si>
    <t>ΔΗΜΟΥ</t>
  </si>
  <si>
    <t>Φ213464</t>
  </si>
  <si>
    <t>ΤΖΙΩΝΑ</t>
  </si>
  <si>
    <t>ΕΥΜΟΡΦΙΑ</t>
  </si>
  <si>
    <t>ΑΟ221984</t>
  </si>
  <si>
    <t>ΛΑΜΠΡΟΠΟΥΛΟΥ</t>
  </si>
  <si>
    <t>ΑΝ670191</t>
  </si>
  <si>
    <t>ΚΟΥΤΣΟΥΒΕΛΗ</t>
  </si>
  <si>
    <t>ΒΛΑΣΙΟΣ</t>
  </si>
  <si>
    <t>Ρ906345</t>
  </si>
  <si>
    <t>ΑΖΑΠΗ</t>
  </si>
  <si>
    <t>ΘΕΟΔΩΡΟΣ</t>
  </si>
  <si>
    <t>ΑΖ935105</t>
  </si>
  <si>
    <t>ΤΙΦΙΛΙΔΟΥ</t>
  </si>
  <si>
    <t>Χ318271</t>
  </si>
  <si>
    <t>ΓΙΩΤΗ</t>
  </si>
  <si>
    <t>ΑΕ230910</t>
  </si>
  <si>
    <t>ΤΑΤΣΙΔΟΥ</t>
  </si>
  <si>
    <t>ΠΑΡΘΕΝΑ</t>
  </si>
  <si>
    <t>ΑΝ120432</t>
  </si>
  <si>
    <t>ΒΑΣΤΑΡΟΥΧΑ</t>
  </si>
  <si>
    <t>ΑΡΕΤΗ</t>
  </si>
  <si>
    <t>ΑΧΙΛΛΕΥΣ</t>
  </si>
  <si>
    <t>ΑΖ777120</t>
  </si>
  <si>
    <t>ΧΑΡΜΠΟΥΡΟΥ</t>
  </si>
  <si>
    <t>ΟΛΓΑ</t>
  </si>
  <si>
    <t>ΣΠΥΡΙΔΩΝ</t>
  </si>
  <si>
    <t>ΑΚ543060</t>
  </si>
  <si>
    <t>ΚΑΡΚΑ</t>
  </si>
  <si>
    <t>ΛΕΩΝΙΔΑΣ</t>
  </si>
  <si>
    <t>ΑΡ074944</t>
  </si>
  <si>
    <t>ΑΠΟΣΤΟΛΙΔΟΥ</t>
  </si>
  <si>
    <t>ΘΕΑΝΩ</t>
  </si>
  <si>
    <t>ΑΕ901861</t>
  </si>
  <si>
    <t>ΒΑΡΚΑΔΟΥ</t>
  </si>
  <si>
    <t>ΣΤΥΛΙΑΝΗ ΕΙΡΗΝΗ</t>
  </si>
  <si>
    <t>ΑΚ046611</t>
  </si>
  <si>
    <t>ΠΑΤΣΙΟΥ</t>
  </si>
  <si>
    <t>ΕΛΠΙΔΑ</t>
  </si>
  <si>
    <t>ΑΚ371327</t>
  </si>
  <si>
    <t>ΗΛΙΑΔΟΥ</t>
  </si>
  <si>
    <t>ΑΝΔΡΙΑΝΗ</t>
  </si>
  <si>
    <t>Φ021629</t>
  </si>
  <si>
    <t>ΜΠΑΛΑΝΙΚΑ</t>
  </si>
  <si>
    <t>ΜΑΡΙΟΣ</t>
  </si>
  <si>
    <t>ΑΑ396177</t>
  </si>
  <si>
    <t>ΚΑΛΟΓΕΡΑΚΗ</t>
  </si>
  <si>
    <t>Τ243551</t>
  </si>
  <si>
    <t>ΝΕΟΦΥΤΙΔΟΥ</t>
  </si>
  <si>
    <t>ΡΟΔΑΜΑ</t>
  </si>
  <si>
    <t>ΑΖ293706</t>
  </si>
  <si>
    <t>ΤΣΑΒΔΑΡΗ</t>
  </si>
  <si>
    <t>ΖΑΧΑΡΩ</t>
  </si>
  <si>
    <t>ΑΟ287984</t>
  </si>
  <si>
    <t>ΣΑΡΗΒΑΣΙΛΗ</t>
  </si>
  <si>
    <t>ΧΡΙΣΤΙΑΝΑ</t>
  </si>
  <si>
    <t>ΑΗ851889</t>
  </si>
  <si>
    <t>ΝΤΑΦΟΥ</t>
  </si>
  <si>
    <t>ΘΩΜΑΣ</t>
  </si>
  <si>
    <t>ΑΙ534878</t>
  </si>
  <si>
    <t>ΤΡΕΥΛΑΚΗ</t>
  </si>
  <si>
    <t>ΑΜ460930</t>
  </si>
  <si>
    <t>ΠΟΥΠΑ</t>
  </si>
  <si>
    <t>ΑΡΓΥΡΗ</t>
  </si>
  <si>
    <t>ΘΕΜΙΣΤΟΚΛΗΣ</t>
  </si>
  <si>
    <t>Σ368544</t>
  </si>
  <si>
    <t>ΓΑΛΙΑΝΟΥ</t>
  </si>
  <si>
    <t xml:space="preserve"> ΣΟΦΙΑ</t>
  </si>
  <si>
    <t>ΕΥΣΤΡΑΤΙΟΣ</t>
  </si>
  <si>
    <t>ΑΝ090400</t>
  </si>
  <si>
    <t>ΚΑΛΥΒΑ</t>
  </si>
  <si>
    <t>Σ023454</t>
  </si>
  <si>
    <t>ΑΠΟΣΤΟΛΟΠΟΥΛΟΥ</t>
  </si>
  <si>
    <t>ΝΑΤΑΛΙΑ</t>
  </si>
  <si>
    <t>ΑΖ579584</t>
  </si>
  <si>
    <t>ΜΠΑΟΥ</t>
  </si>
  <si>
    <t>ΕΠΑΜΕΙΝΩΝΔΑΣ</t>
  </si>
  <si>
    <t>ΑΖ482086</t>
  </si>
  <si>
    <t>ΞΥΔΙΑ</t>
  </si>
  <si>
    <t>Τ888479</t>
  </si>
  <si>
    <t>ΜΟΥΓΙΟΥ</t>
  </si>
  <si>
    <t>Ν489955</t>
  </si>
  <si>
    <t>ΤΖΙΕΡΤΖΗ</t>
  </si>
  <si>
    <t>ΜΑΡΓΑΡΙΤΑ</t>
  </si>
  <si>
    <t>ΑΗ915129</t>
  </si>
  <si>
    <t>ΖΑΜΑΝΑΚΟΥ</t>
  </si>
  <si>
    <t>ΣΤΕΡΓΙΑΝΗ</t>
  </si>
  <si>
    <t>ΑΡ235830</t>
  </si>
  <si>
    <t>ΧΡΥΣΙΚΟΥ</t>
  </si>
  <si>
    <t>ΜΑΡΙΝΑ</t>
  </si>
  <si>
    <t>Χ665447</t>
  </si>
  <si>
    <t>ΚΑΣΤΡΙΤΣΗ</t>
  </si>
  <si>
    <t>ΑΙ185776</t>
  </si>
  <si>
    <t>ΚΑΡΑΚΩΣΤΑ</t>
  </si>
  <si>
    <t>ΑΝ796753</t>
  </si>
  <si>
    <t>ΛΕΙΒΑΔΙΩΤΟΥ</t>
  </si>
  <si>
    <t>ΔΑΦΝΗ</t>
  </si>
  <si>
    <t>ΑΚ997918</t>
  </si>
  <si>
    <t>ΕΥΣΤΑΘΙΑΔΟΥ</t>
  </si>
  <si>
    <t>ΕΥΣΤΑΘΙΟΣ</t>
  </si>
  <si>
    <t>ΑΡ271433</t>
  </si>
  <si>
    <t>ΣΑΡΑΝΤΟΠΟΥΛΟΥ</t>
  </si>
  <si>
    <t>ΝΙΚΟΛΙΑ</t>
  </si>
  <si>
    <t>ΑΝ817481</t>
  </si>
  <si>
    <t>ΙΩΑΝΝΙΔΟΥ</t>
  </si>
  <si>
    <t>Χ894357</t>
  </si>
  <si>
    <t>ΔΡΟΣΟΥ</t>
  </si>
  <si>
    <t>ΚΑΤΕΡΙΝΑ</t>
  </si>
  <si>
    <t>ΛΟΥΚΑΣ</t>
  </si>
  <si>
    <t>ΑΟ075866</t>
  </si>
  <si>
    <t>ΒΟΥΛΚΙΔΗ ΚΑΤΣΙΚΑΡΕΛΗ</t>
  </si>
  <si>
    <t>ΑΚ537031</t>
  </si>
  <si>
    <t>ΜΟΣΧΙΔΟΥ</t>
  </si>
  <si>
    <t>ΚΑΡΙΟΦΥΛΛΗΣ</t>
  </si>
  <si>
    <t>ΑΖ204335</t>
  </si>
  <si>
    <t>ΛΙΑΚΟΠΟΥΛΟΥ</t>
  </si>
  <si>
    <t>ΑΒ217435</t>
  </si>
  <si>
    <t>ΖΩΤΟΥ</t>
  </si>
  <si>
    <t>ΑΜ302502</t>
  </si>
  <si>
    <t>ΑΜΠΛΙΑΝΙΤΗ</t>
  </si>
  <si>
    <t>ΑΟ334326</t>
  </si>
  <si>
    <t>ΚΑΤΣΑΡΗ</t>
  </si>
  <si>
    <t>ΑΦΡΟΔΙΤΗ</t>
  </si>
  <si>
    <t>ΑΑ267901</t>
  </si>
  <si>
    <t>ΚΟΝΔΥΛΗ</t>
  </si>
  <si>
    <t>ΣΤΑΥΡΟΣ</t>
  </si>
  <si>
    <t>ΑΝ221118</t>
  </si>
  <si>
    <t>ΚΑΡΑΝΙΚΟΛΑΟΥ</t>
  </si>
  <si>
    <t>ΑΝ336137</t>
  </si>
  <si>
    <t>ΑΚ964255</t>
  </si>
  <si>
    <t>ΓΚΕΝΤΖΟΓΛΑΝΗΣ</t>
  </si>
  <si>
    <t>ΑΒ482992</t>
  </si>
  <si>
    <t>ΚΑΠΕΤΑΝΟΠΟΥΛΟΥ</t>
  </si>
  <si>
    <t>Π453877</t>
  </si>
  <si>
    <t>ΤΣΕΛΙΟΥ</t>
  </si>
  <si>
    <t>Χ891563</t>
  </si>
  <si>
    <t>ΣΑΜΙΟΥ</t>
  </si>
  <si>
    <t>ΟΥΡΑΝΙΑ</t>
  </si>
  <si>
    <t>ΑΕ111439</t>
  </si>
  <si>
    <t>ΓΚΕΖΕΡΗ</t>
  </si>
  <si>
    <t>ΓΕΡΑΣΙΜΟΣ</t>
  </si>
  <si>
    <t>ΑΗ244970</t>
  </si>
  <si>
    <t>ΔΕΔΕ</t>
  </si>
  <si>
    <t>Τ254904</t>
  </si>
  <si>
    <t>ΠΡΕΚΑ</t>
  </si>
  <si>
    <t>ΑΟ812313</t>
  </si>
  <si>
    <t>ΣΚΑΡΒΕΛΗ</t>
  </si>
  <si>
    <t>ΑΙ312133</t>
  </si>
  <si>
    <t>ΔΑΛΑΜΑΓΚΑ</t>
  </si>
  <si>
    <t>ΤΡΙΑΝΤΑΦΥΛΛΟΣ</t>
  </si>
  <si>
    <t>ΑΖ277336</t>
  </si>
  <si>
    <t>ΤΣΕΚΟΥΡΑ</t>
  </si>
  <si>
    <t>Χ274265</t>
  </si>
  <si>
    <t>ΚΑΤΩΓΑ</t>
  </si>
  <si>
    <t>ΦΩΤΕΙΝΗ</t>
  </si>
  <si>
    <t>ΑΒ504711</t>
  </si>
  <si>
    <t>ΚΑΤΣΙΟΥΛΑ</t>
  </si>
  <si>
    <t>ΑΜ364555</t>
  </si>
  <si>
    <t>ΠΕΡΙΒΟΛΑ</t>
  </si>
  <si>
    <t>ΑΒ773549</t>
  </si>
  <si>
    <t>ΕΥΓΕΝΙΚΟΥ</t>
  </si>
  <si>
    <t>ΑΖ180722</t>
  </si>
  <si>
    <t>ΣΩΤΗΡΙΑ</t>
  </si>
  <si>
    <t>ΑΚ851012</t>
  </si>
  <si>
    <t>ΧΡΟΝΟΠΟΥΛΟΥ</t>
  </si>
  <si>
    <t>ΑΚ368061</t>
  </si>
  <si>
    <t>ΚΑΛΑΤΖΙΝΟΥ</t>
  </si>
  <si>
    <t>ΚΡΥΩΝΑΣ</t>
  </si>
  <si>
    <t>ΑΗ818197</t>
  </si>
  <si>
    <t>ΚΡΑΝΑ</t>
  </si>
  <si>
    <t>ΒΑΙΤΣΑ</t>
  </si>
  <si>
    <t>ΔΗΜΟΣΘΕΝΗΣ</t>
  </si>
  <si>
    <t>Ρ841525</t>
  </si>
  <si>
    <t>ΚΟΥΤΑΛΙΔΟΥ</t>
  </si>
  <si>
    <t>ΑΡΧΟΝΤΙΑ</t>
  </si>
  <si>
    <t>ΑΖ341694</t>
  </si>
  <si>
    <t>ΤΣΙΜΙΤΑΚΗ</t>
  </si>
  <si>
    <t>ΕΥΦΗΜΙΑ</t>
  </si>
  <si>
    <t>ΑΗ684870</t>
  </si>
  <si>
    <t>ΚΟΝΤΟΥ</t>
  </si>
  <si>
    <t>ΑΙ353824</t>
  </si>
  <si>
    <t>ΠΑΝΑΓΙΩΤΟΥ</t>
  </si>
  <si>
    <t>ΑΡΓΥΡΩ ΚΥΡΙΑΚΗ</t>
  </si>
  <si>
    <t>ΑΜ579450</t>
  </si>
  <si>
    <t>ΜΟΣΧΟΥΤΑ</t>
  </si>
  <si>
    <t>ΑΝΘΙΑ</t>
  </si>
  <si>
    <t>ΑΗ860054</t>
  </si>
  <si>
    <t>ΤΣΙΡΙΚΑ</t>
  </si>
  <si>
    <t>Χ764104</t>
  </si>
  <si>
    <t>ΓΙΟΥΡΕΛΗ</t>
  </si>
  <si>
    <t>ΑΚ524868</t>
  </si>
  <si>
    <t>ΑΒ102630</t>
  </si>
  <si>
    <t>ΧΟΥΠΗ</t>
  </si>
  <si>
    <t>ΑΜ260549</t>
  </si>
  <si>
    <t>ΚΑΡΑΘΑΝΟΥ</t>
  </si>
  <si>
    <t>ΑΚ297569</t>
  </si>
  <si>
    <t>ΚΟΛΥΜΕΝΟΥ</t>
  </si>
  <si>
    <t>ΑΟ365674</t>
  </si>
  <si>
    <t>ΜΑΚΡΥΔΑΚΗ</t>
  </si>
  <si>
    <t>ΠΗΝΕΛΟΠΗ</t>
  </si>
  <si>
    <t>ΑΗ056588</t>
  </si>
  <si>
    <t>ΑΜ876021</t>
  </si>
  <si>
    <t>ΑΓΙΑΣΜΑΤΗ</t>
  </si>
  <si>
    <t>ΜΑΡΚΕΛΛΑ</t>
  </si>
  <si>
    <t>ΜΗΝΑΣ</t>
  </si>
  <si>
    <t>ΑΖ435161</t>
  </si>
  <si>
    <t>ΣΑΜΠΑΝΙΩΤΗ</t>
  </si>
  <si>
    <t>Π719472</t>
  </si>
  <si>
    <t>ΜΑΛΛΙΝΗ</t>
  </si>
  <si>
    <t>ΑΖ349217</t>
  </si>
  <si>
    <t>ΝΤΙΚΑ</t>
  </si>
  <si>
    <t>ΑΖ495012</t>
  </si>
  <si>
    <t>ΦΟΥΚΑ</t>
  </si>
  <si>
    <t>ΑΕ044679</t>
  </si>
  <si>
    <t>ΛΥΜΠΕΡΟΠΟΥΛΟΥ</t>
  </si>
  <si>
    <t>Ξ982246</t>
  </si>
  <si>
    <t>ΠΑΛΗΚΑΡΑ</t>
  </si>
  <si>
    <t>ΑΙ553121</t>
  </si>
  <si>
    <t>ΓΙΑΛΕΣΑΚΗ</t>
  </si>
  <si>
    <t>ΕΥΣΕΒΙΑ</t>
  </si>
  <si>
    <t>Σ463474</t>
  </si>
  <si>
    <t>ΤΑΝΑΝΑΚΗ</t>
  </si>
  <si>
    <t>ΑΓΓΕΛΟΣ</t>
  </si>
  <si>
    <t>Σ752565</t>
  </si>
  <si>
    <t>ΠΑΤΣΕΑ</t>
  </si>
  <si>
    <t>ΑΕ247094</t>
  </si>
  <si>
    <t>ΓΕΡΟΛΥΜΑΤΟΥ</t>
  </si>
  <si>
    <t>Ρ775317</t>
  </si>
  <si>
    <t>ΚΑΠΕΤΑΝΑΚΗ</t>
  </si>
  <si>
    <t>Φ252824</t>
  </si>
  <si>
    <t>ΠΑΠΑΧΡΙΣΤΟΠΟΥΛΟΥ</t>
  </si>
  <si>
    <t>ΑΕ233994</t>
  </si>
  <si>
    <t>ΚΩΝΣΤΑΝΤΙΝΙΔΟΥ</t>
  </si>
  <si>
    <t>ΣΤΥΛΙΑΝΗ</t>
  </si>
  <si>
    <t>ΑΒ131884</t>
  </si>
  <si>
    <t>ΤΣΕΡΓΟΥΛΑ</t>
  </si>
  <si>
    <t>Χ978078</t>
  </si>
  <si>
    <t>ΤΣΙΩΛΗ</t>
  </si>
  <si>
    <t>ΖΩΙΤΣΑ</t>
  </si>
  <si>
    <t>ΤΑΞΙΑΡΧΗ</t>
  </si>
  <si>
    <t>Ξ752680</t>
  </si>
  <si>
    <t>ΑΕ401062</t>
  </si>
  <si>
    <t>ΔΡΑΓΓΩΓΙΑ</t>
  </si>
  <si>
    <t>ΣΟΥΛΤΑΝΑ</t>
  </si>
  <si>
    <t>ΑΖ291424</t>
  </si>
  <si>
    <t>ΤΣΙΛΙΓΚΙΡΗ</t>
  </si>
  <si>
    <t>ΛΑΜΠΡΙΝΗ</t>
  </si>
  <si>
    <t>ΑΟ009541</t>
  </si>
  <si>
    <t>ΜΠΟΥΚΟΥΒΑΛΑ</t>
  </si>
  <si>
    <t>ΑΜ620335</t>
  </si>
  <si>
    <t>ΚΟΡΟΠΟΥΛΗ</t>
  </si>
  <si>
    <t>ΑΗ416967</t>
  </si>
  <si>
    <t>ΠΕΤΡΙΔΟΥ</t>
  </si>
  <si>
    <t>ΣΤΕΦΑΝΟΣ</t>
  </si>
  <si>
    <t>ΑΕ423715</t>
  </si>
  <si>
    <t>ΝΑΛΜΠΑΝΤΗ</t>
  </si>
  <si>
    <t>ΑΖ190385</t>
  </si>
  <si>
    <t>ΤΕΛΑΚΗ</t>
  </si>
  <si>
    <t>ΦΑΝΗ</t>
  </si>
  <si>
    <t>ΑΕ458717</t>
  </si>
  <si>
    <t>ΒΛΑΧΟΥ</t>
  </si>
  <si>
    <t>ΑΖ236383</t>
  </si>
  <si>
    <t>ΚΑΡΑΝΤΖΙΑ</t>
  </si>
  <si>
    <t>Χ679753</t>
  </si>
  <si>
    <t>ΠΑΓΟΥΛΑΤΟΥ</t>
  </si>
  <si>
    <t>Ρ784301</t>
  </si>
  <si>
    <t>ΑΘΑΝΑΣΑΚΟΠΟΥΛΟΥ</t>
  </si>
  <si>
    <t>ΑΝ359862</t>
  </si>
  <si>
    <t>ΣΦΑΚΙΩΤΑΚΗ</t>
  </si>
  <si>
    <t>ΦΙΛΙΑ</t>
  </si>
  <si>
    <t>ΠΑΝΤΕΛΗΣ</t>
  </si>
  <si>
    <t>Τ487030</t>
  </si>
  <si>
    <t>ΣΑΧΜΠΑΖΙΔΟΥ</t>
  </si>
  <si>
    <t>ΝΤΙΑΝΑ</t>
  </si>
  <si>
    <t>ΒΛΑΔΙΜΗΡΟΣ</t>
  </si>
  <si>
    <t>ΑΚ822216</t>
  </si>
  <si>
    <t>ΛΑΜΠΡΙΝΙΔΟΥ</t>
  </si>
  <si>
    <t>ΣΤΕΛΛΑ</t>
  </si>
  <si>
    <t>Χ082059</t>
  </si>
  <si>
    <t>ΓΛΕΝΤΖΗΣ</t>
  </si>
  <si>
    <t>ΑΝ565035</t>
  </si>
  <si>
    <t>ΔΟΤΣΙΟΥ</t>
  </si>
  <si>
    <t>Χ760086</t>
  </si>
  <si>
    <t>ΠΑΠΑΠΟΣΤΟΛΟΥ</t>
  </si>
  <si>
    <t>ΑΗ179924</t>
  </si>
  <si>
    <t>ΤΣΕΣΜΕΛΗ</t>
  </si>
  <si>
    <t>ΑΚ022784</t>
  </si>
  <si>
    <t>ΤΖΑΝΗ</t>
  </si>
  <si>
    <t>ΑΖ907607</t>
  </si>
  <si>
    <t>ΑΖ377609</t>
  </si>
  <si>
    <t>ΚΑΡΑΜΠΑΤΖΑΚΗ</t>
  </si>
  <si>
    <t>ΑΕ817496</t>
  </si>
  <si>
    <t>ΚΕΚΡΙΔΟΥ</t>
  </si>
  <si>
    <t>ΑΕ891874</t>
  </si>
  <si>
    <t>ΚΕΛΕΜΕΝΗ</t>
  </si>
  <si>
    <t>Χ316122</t>
  </si>
  <si>
    <t>ΖΑΠΡΟΥΔΗ</t>
  </si>
  <si>
    <t>ΑΠΟΣΤΟΛΙΑ</t>
  </si>
  <si>
    <t>ΑΚ882279</t>
  </si>
  <si>
    <t>ΦΑΡΜΑΚΙΔΟΥ</t>
  </si>
  <si>
    <t>ΝΙΚΟΛΑΟΣ ΑΛΕΞΑΝΔΡΟΣ</t>
  </si>
  <si>
    <t>Π765499</t>
  </si>
  <si>
    <t>ΠΟΖΑΤΖΙΔΟΥ</t>
  </si>
  <si>
    <t>Φ164352</t>
  </si>
  <si>
    <t>ΠΙΠΕΡΑ</t>
  </si>
  <si>
    <t>ΑΜ295080</t>
  </si>
  <si>
    <t>ΜΑΡΤΙΝΗ</t>
  </si>
  <si>
    <t>ΑΝ475767</t>
  </si>
  <si>
    <t>ΣΠΙΝΟΥ</t>
  </si>
  <si>
    <t xml:space="preserve">ΕΥΑΓΓΕΛΙΑ </t>
  </si>
  <si>
    <t>ΔΙΟΝΥΣΙΟΣ</t>
  </si>
  <si>
    <t>ΑΒ007677</t>
  </si>
  <si>
    <t>ΜΠΟΥΡΑΣ</t>
  </si>
  <si>
    <t>ΑΝ418968</t>
  </si>
  <si>
    <t>ΜΑΧΑ</t>
  </si>
  <si>
    <t>ΑΕ726217</t>
  </si>
  <si>
    <t>ΤΣΕΡΙΩΝΗ</t>
  </si>
  <si>
    <t>ΑΓΗΣΙΛΑΟΣ</t>
  </si>
  <si>
    <t>Ρ814801</t>
  </si>
  <si>
    <t>ΤΣΟΥΛΙΑ</t>
  </si>
  <si>
    <t>ΘΑΛΕΙΑ</t>
  </si>
  <si>
    <t>ΑΜ106364</t>
  </si>
  <si>
    <t>ΚΟΛΗΠΕΤΡΗ</t>
  </si>
  <si>
    <t>ΟΝΟΥΦΡΙΟΣ</t>
  </si>
  <si>
    <t>ΑΒ448020</t>
  </si>
  <si>
    <t>ΝΑΝΟΥ</t>
  </si>
  <si>
    <t>Χ087531</t>
  </si>
  <si>
    <t>ΚΑΜΠΙΤΑΚΗ</t>
  </si>
  <si>
    <t>Σ424759</t>
  </si>
  <si>
    <t>ΓΕΩΡΓΟΠΟΥΛΟΥ</t>
  </si>
  <si>
    <t>ΑΚ729268</t>
  </si>
  <si>
    <t>ΧΑΝΑ</t>
  </si>
  <si>
    <t>ΓΛΥΚΕΡΙΑ</t>
  </si>
  <si>
    <t>ΛΑΜΠΡΟΣ</t>
  </si>
  <si>
    <t>ΑΒ042271</t>
  </si>
  <si>
    <t>ΠΑΛΑΜΙΔΑ</t>
  </si>
  <si>
    <t>ΑΛΕΞΑΝΔΡΟΣ</t>
  </si>
  <si>
    <t>ΑΝ203811</t>
  </si>
  <si>
    <t>ΚΟΥΤΙΟΛΑ</t>
  </si>
  <si>
    <t>ΑΖ288290</t>
  </si>
  <si>
    <t>ΔΙΑΛΥΝΑ</t>
  </si>
  <si>
    <t>ΑΖ465990</t>
  </si>
  <si>
    <t xml:space="preserve">ΜΠΟΥΡΟΥ </t>
  </si>
  <si>
    <t>ΑΖ751904</t>
  </si>
  <si>
    <t>ΛΕΟΝΤΑΡΗ</t>
  </si>
  <si>
    <t>ΑΜ263082</t>
  </si>
  <si>
    <t>ΑΕ998145</t>
  </si>
  <si>
    <t>ΑΥΛΩΝΙΤΗ</t>
  </si>
  <si>
    <t>ΑΕ955631</t>
  </si>
  <si>
    <t>ΜΠΑΡΜΠΑΓΙΑΝΝΗ</t>
  </si>
  <si>
    <t>Χ869794</t>
  </si>
  <si>
    <t>ΝΕΦΕΛΗ</t>
  </si>
  <si>
    <t>ΑΜ005645</t>
  </si>
  <si>
    <t>ΤΖΙΤΖΙΟΥ</t>
  </si>
  <si>
    <t>ΑΑ485716</t>
  </si>
  <si>
    <t>ΤΕΖΑ</t>
  </si>
  <si>
    <t>ΑΕ864737</t>
  </si>
  <si>
    <t>ΤΕΡΖΗ</t>
  </si>
  <si>
    <t>Χ438773</t>
  </si>
  <si>
    <t>ΔΟΝΟΥ</t>
  </si>
  <si>
    <t>ΑΝ301842</t>
  </si>
  <si>
    <t>ΑΝΕΣΙΑΔΟΥ</t>
  </si>
  <si>
    <t>ΑΝ907742</t>
  </si>
  <si>
    <t>Χ230540</t>
  </si>
  <si>
    <t>ΑΓΓΕΛΙΔΑΚΗ</t>
  </si>
  <si>
    <t>Χ850559</t>
  </si>
  <si>
    <t>ΤΣΟΥΚΑΛΑ</t>
  </si>
  <si>
    <t>ΑΗ216574</t>
  </si>
  <si>
    <t>ΣΚΟΥΡΑ</t>
  </si>
  <si>
    <t>ΑΒ394009</t>
  </si>
  <si>
    <t>ΔΡΑΚΑΤΟΥ</t>
  </si>
  <si>
    <t>ΓΑΒΡΙΗΛ</t>
  </si>
  <si>
    <t>ΑΚ337412</t>
  </si>
  <si>
    <t>ΚΟΥΡΠΑΔΑΚΗ</t>
  </si>
  <si>
    <t>ΑΕ482350</t>
  </si>
  <si>
    <t>ΒΑΣΙΛΟΠΑΝΑΓΟΥ</t>
  </si>
  <si>
    <t>ΕΥΣΤΑΘΙΑ</t>
  </si>
  <si>
    <t>ΑΝ133357</t>
  </si>
  <si>
    <t>ΜΕΡΜΙΚΛΗ</t>
  </si>
  <si>
    <t>ΑΑ467814</t>
  </si>
  <si>
    <t>ΚΑΛΠΑΚΗ</t>
  </si>
  <si>
    <t>ΑΟ912018</t>
  </si>
  <si>
    <t>ΤΣΙΟΥΤΣΙΟΥΛΑ</t>
  </si>
  <si>
    <t>ΒΑΙΑ</t>
  </si>
  <si>
    <t>ΑΗ158704</t>
  </si>
  <si>
    <t>ΠΟΥΛΟΥ</t>
  </si>
  <si>
    <t>Χ989187</t>
  </si>
  <si>
    <t>ΚΟΤΙΟΥ</t>
  </si>
  <si>
    <t>ΑΖ387067</t>
  </si>
  <si>
    <t>ΛΑΙΟΥ</t>
  </si>
  <si>
    <t>ΑΙ353137</t>
  </si>
  <si>
    <t>Τ030306</t>
  </si>
  <si>
    <t>ΤΑΣΙΟΠΟΥΛΟΥ</t>
  </si>
  <si>
    <t>ΤΡΙΑΝΤΑΦ</t>
  </si>
  <si>
    <t>Ρ892621</t>
  </si>
  <si>
    <t>ΙΓΝΑΤΙΟΥ</t>
  </si>
  <si>
    <t>ΤΖΕΣΙΚΑ ΚΛΑΙΡΗ ΒΙΡΤΖ</t>
  </si>
  <si>
    <t>Α00422247</t>
  </si>
  <si>
    <t>ΚΟΤΣΗ</t>
  </si>
  <si>
    <t>ΠΑΝΤΕΛΗ</t>
  </si>
  <si>
    <t>ΑΜ595413</t>
  </si>
  <si>
    <t>ΒΑΣΙΛΟΠΟΥΛΟΥ</t>
  </si>
  <si>
    <t>ΑΟ041154</t>
  </si>
  <si>
    <t>ΦΩΛΙΑ</t>
  </si>
  <si>
    <t>Σ780373</t>
  </si>
  <si>
    <t>ΑΡΑΠΑΣΗ</t>
  </si>
  <si>
    <t>ΕΝΤΕΛΑ</t>
  </si>
  <si>
    <t>ΣΤΑΥΡΟ</t>
  </si>
  <si>
    <t>ΑΗ133549</t>
  </si>
  <si>
    <t>ΜΠΙΤΖΕΛΕΚΗ</t>
  </si>
  <si>
    <t>ΑΒ814102</t>
  </si>
  <si>
    <t>ΜΑΡΓΑΡΙΤΟΥ</t>
  </si>
  <si>
    <t>Ξ695395</t>
  </si>
  <si>
    <t>ΚΟΥΤΛΑ</t>
  </si>
  <si>
    <t>ΑΗ687290</t>
  </si>
  <si>
    <t>ΚΑΤΣΟΥΛΗ</t>
  </si>
  <si>
    <t>ΑΕ627831</t>
  </si>
  <si>
    <t>ΚΑΚΑΡΑΝΤΖΟΥΛΑ</t>
  </si>
  <si>
    <t>Χ010764</t>
  </si>
  <si>
    <t>ΒΕΡΤΖΕΒΟΥΛΙΑ</t>
  </si>
  <si>
    <t>ΑΗ900842</t>
  </si>
  <si>
    <t>ΨΩΜΑ</t>
  </si>
  <si>
    <t>ΜΑΡΙΑΝΘΗ</t>
  </si>
  <si>
    <t>ΑΚ817756</t>
  </si>
  <si>
    <t>ΚΩΝΣΤΑΝΤΙΑ</t>
  </si>
  <si>
    <t>ΠΟΛΥΚΑΡΠΟΣ</t>
  </si>
  <si>
    <t>ΑΚ949478</t>
  </si>
  <si>
    <t>ΑΣΗΜΑΚΟΠΟΥΛΟΥ</t>
  </si>
  <si>
    <t>ΕΥΓΕΝΙΑ</t>
  </si>
  <si>
    <t>Χ798105</t>
  </si>
  <si>
    <t>ΤΣΙΤΣΑ</t>
  </si>
  <si>
    <t>ΑΒ436669</t>
  </si>
  <si>
    <t>ΖΗΣΑΚΗ</t>
  </si>
  <si>
    <t>ΣΜΑΡΑΓΔΑ</t>
  </si>
  <si>
    <t>ΖΗΣΗΣ</t>
  </si>
  <si>
    <t>ΑΝ084054</t>
  </si>
  <si>
    <t>ΛΑΖΑΡΙΔΟΥ</t>
  </si>
  <si>
    <t>ΑΚ114164</t>
  </si>
  <si>
    <t>ΠΑΡΙΣΣΗ</t>
  </si>
  <si>
    <t>ΑΝ485795</t>
  </si>
  <si>
    <t>ΤΣΙΛΕΠΩΝΗ</t>
  </si>
  <si>
    <t>ΕΥΡΩΠΗ</t>
  </si>
  <si>
    <t>ΑΖ391303</t>
  </si>
  <si>
    <t>ΣΤΑΘΑ</t>
  </si>
  <si>
    <t>ΑΕ526350</t>
  </si>
  <si>
    <t>ΑΝΕΜΙΔΟΥ</t>
  </si>
  <si>
    <t>ΑΗ9Ι8278</t>
  </si>
  <si>
    <t>ΜΠΡΟΥΜΑ</t>
  </si>
  <si>
    <t xml:space="preserve">ΧΑΡΙΚΛΕΙΑ ΣΕΒΑΣΤΗ </t>
  </si>
  <si>
    <t>ΣΠΥΡΙΔΩΝ ΜΠΡΟΥΜΑΣ</t>
  </si>
  <si>
    <t>ΑΚ693817</t>
  </si>
  <si>
    <t>ΣΤΑΥΡΙΔΟΥ</t>
  </si>
  <si>
    <t>ΑΗ924892</t>
  </si>
  <si>
    <t>ΧΑΡΑΛΑΜΠΟΠΟΥΛΟΥ</t>
  </si>
  <si>
    <t>Χ805535</t>
  </si>
  <si>
    <t>ΑΝΕΣΤΗ</t>
  </si>
  <si>
    <t>Χ989708</t>
  </si>
  <si>
    <t>ΑΝΔΡΕΔΑΚΗ</t>
  </si>
  <si>
    <t>ΑΗ150350</t>
  </si>
  <si>
    <t>ΠΕΤΡΟΠΟΥΛΟΥ</t>
  </si>
  <si>
    <t>ΑΕ273566</t>
  </si>
  <si>
    <t>ΑΑ438412</t>
  </si>
  <si>
    <t>ΜΠΑΝΔΕΛΗ</t>
  </si>
  <si>
    <t>ΑΑ379734</t>
  </si>
  <si>
    <t>ΗΛΕΚΤΡΑ</t>
  </si>
  <si>
    <t>ΚΟΝΤΟΘΑΝΑΣΗ</t>
  </si>
  <si>
    <t>ΣΤΥΛΙΑΝΟΣ</t>
  </si>
  <si>
    <t>ΑΜ685581</t>
  </si>
  <si>
    <t>ΟΙΚΟΝΟΜΟΥ</t>
  </si>
  <si>
    <t>ΑΑ362025</t>
  </si>
  <si>
    <t>ΧΟΝΔΡΟΓΙΑΝΝΗΣ</t>
  </si>
  <si>
    <t>ΑΜ290857</t>
  </si>
  <si>
    <t>ΚΑΡΡΑ</t>
  </si>
  <si>
    <t>ΧΡΙΣΤΙΝΑ</t>
  </si>
  <si>
    <t>ΑΖ696070</t>
  </si>
  <si>
    <t>ΖΑΧΑΡΙΟΥΔΑΚΗ</t>
  </si>
  <si>
    <t>ΑΝΝΑ ΜΑΡΙΑ</t>
  </si>
  <si>
    <t>ΑΒ963139</t>
  </si>
  <si>
    <t>ΘΕΟΔΟΥΛΗ</t>
  </si>
  <si>
    <t>ΖΑΧΑΡΟΥΛΑ</t>
  </si>
  <si>
    <t>ΑΑ263835</t>
  </si>
  <si>
    <t>ΤΣΑΡΣΙΤΑΛΙΔΟΥ</t>
  </si>
  <si>
    <t>ΑΖ187030</t>
  </si>
  <si>
    <t>ΛΑΖΑΡΟΥ</t>
  </si>
  <si>
    <t>ΑΗ574819</t>
  </si>
  <si>
    <t>ΛΑΖΑΡΟΣ</t>
  </si>
  <si>
    <t>ΑΖ645705</t>
  </si>
  <si>
    <t>ΜΑΚΡΟΓΙΑΝΝΗ</t>
  </si>
  <si>
    <t>Ρ489810</t>
  </si>
  <si>
    <t>ΚΑΤΣΑΒΡΙΑ</t>
  </si>
  <si>
    <t>Π436187</t>
  </si>
  <si>
    <t>ΜΩΥΣΗ</t>
  </si>
  <si>
    <t>ΖΩΗ ΣΩΤΗΡΙΑ</t>
  </si>
  <si>
    <t>ΒΕΝΙΑΜΙΝ ΕΥΣΤΑΘΙΟΣ</t>
  </si>
  <si>
    <t>Χ249930</t>
  </si>
  <si>
    <t>ΤΣΟΥΜΗΤΑ</t>
  </si>
  <si>
    <t>ΑΡ219956</t>
  </si>
  <si>
    <t>ΧΡΗΜΑΤΟΠΟΥΛΟΥ</t>
  </si>
  <si>
    <t>ΑΚ426747</t>
  </si>
  <si>
    <t>ΛΥΤΙΝΑ ΠΟΛΥΧΡΟΝΑΚΗ</t>
  </si>
  <si>
    <t>ΕΥΑΝΘΙΑ</t>
  </si>
  <si>
    <t>ΑΚ477292</t>
  </si>
  <si>
    <t>ΝΙΚΟΛΤΣΟΥΔΗ</t>
  </si>
  <si>
    <t>ΜΕΝΕΛΑΟΣ</t>
  </si>
  <si>
    <t>ΑΖ414457</t>
  </si>
  <si>
    <t xml:space="preserve">ΤΣΕΡΟΥ </t>
  </si>
  <si>
    <t xml:space="preserve">ΧΡΗΣΤΟΣ </t>
  </si>
  <si>
    <t>Χ416173</t>
  </si>
  <si>
    <t>ΜΠΟΥΤΛΑ</t>
  </si>
  <si>
    <t>ΧΑΡΙΚΛΕΙΑ</t>
  </si>
  <si>
    <t>Χ925442</t>
  </si>
  <si>
    <t>ΒΕΛΛΗ</t>
  </si>
  <si>
    <t>ΑΒ060849</t>
  </si>
  <si>
    <t>ΠΑΤΣΙΚΑ</t>
  </si>
  <si>
    <t>ΑΗ193966</t>
  </si>
  <si>
    <t>ΓΚΟΥΜΑ</t>
  </si>
  <si>
    <t>ΜΑΡΙΝΟΣ</t>
  </si>
  <si>
    <t>ΑΗ504135</t>
  </si>
  <si>
    <t>ΡΙΓΚΑ</t>
  </si>
  <si>
    <t>ΑΑ239790</t>
  </si>
  <si>
    <t>ΓΑΡΟΥΦΑ</t>
  </si>
  <si>
    <t>ΚΩΝΣΤΑΝΤΙΝΙΑ</t>
  </si>
  <si>
    <t>ΑΜ293983</t>
  </si>
  <si>
    <t>ΤΖΩΡΤΖΑΤΟΥ</t>
  </si>
  <si>
    <t>ΠΟΛΥΒΙΟΣ</t>
  </si>
  <si>
    <t>ΑΙ241932</t>
  </si>
  <si>
    <t>ΑΟ347597</t>
  </si>
  <si>
    <t>ΟΥΛΗ</t>
  </si>
  <si>
    <t>Χ581206</t>
  </si>
  <si>
    <t>ΑΡΧΟΝΤΗ</t>
  </si>
  <si>
    <t>ΑΗ412436</t>
  </si>
  <si>
    <t>ΒΟΥΔΟΥΡΗ</t>
  </si>
  <si>
    <t>Φ323810</t>
  </si>
  <si>
    <t>ΠΕΤΡΕΝΤΣΗ</t>
  </si>
  <si>
    <t>ΑΗ160637</t>
  </si>
  <si>
    <t>ΣΤΑΜΑΤΟΥΚΟΥ</t>
  </si>
  <si>
    <t>Χ327072</t>
  </si>
  <si>
    <t>ΤΑΒΛΑΛΗ</t>
  </si>
  <si>
    <t>ΑΗ622845</t>
  </si>
  <si>
    <t>ΖΟΥΜΠΑΝΙΩΤΗ</t>
  </si>
  <si>
    <t>Ξ872777</t>
  </si>
  <si>
    <t>ΔΗΜΗΤΡΙΑΔΗ</t>
  </si>
  <si>
    <t>ΑΣΗΜΙΝΑ</t>
  </si>
  <si>
    <t>ΑΗ707469</t>
  </si>
  <si>
    <t>ΑΘΑΝΑΣΙΑΔΟΥ</t>
  </si>
  <si>
    <t>ΠΑΥΛΙΝΑ</t>
  </si>
  <si>
    <t>ΑΙ725258</t>
  </si>
  <si>
    <t>ΜΑΤΘΑΙΑΚΗ</t>
  </si>
  <si>
    <t>ΦΡΑΓΚΙΣΚΟΣ</t>
  </si>
  <si>
    <t>ΑΝ931059</t>
  </si>
  <si>
    <t>ΤΖΩΡΤΖΙΝΗ</t>
  </si>
  <si>
    <t>Σ355725</t>
  </si>
  <si>
    <t>ΚΑΜΠΟΥΡΑΚΗ</t>
  </si>
  <si>
    <t>ΚΛΕΑΝΘΗ</t>
  </si>
  <si>
    <t>ΑΙ451179</t>
  </si>
  <si>
    <t>ΔΕΛΑΒΕΡΙΔΟΥ</t>
  </si>
  <si>
    <t>ΑΜ850647</t>
  </si>
  <si>
    <t>ΓΚΑΝΤΖΙΟΥ</t>
  </si>
  <si>
    <t>ΑΟ037040</t>
  </si>
  <si>
    <t>ΦΡΑΝΤΖΕΣΚΑ</t>
  </si>
  <si>
    <t>ΑΝ676338</t>
  </si>
  <si>
    <t>ΚΑΡΑΝΙΚΟΛΑ</t>
  </si>
  <si>
    <t>ΑΣΤΕΡΙΟΣ</t>
  </si>
  <si>
    <t>ΑΚ436449</t>
  </si>
  <si>
    <t>ΛΑΖΑΡΙΔΟΥ ΚΟΣΤΟΥΚΑ</t>
  </si>
  <si>
    <t>ΑΚ298704</t>
  </si>
  <si>
    <t>ΔΡΑΜΑΛΗ</t>
  </si>
  <si>
    <t>ΣΠΥΡΙΔΩΝΙΑ</t>
  </si>
  <si>
    <t>ΑΜ865137</t>
  </si>
  <si>
    <t>ΔΗΜΑΚΟΠΟΥΛΟΥ</t>
  </si>
  <si>
    <t>Σ371160</t>
  </si>
  <si>
    <t>ΜΥΤΙΛΗΝΑΙΟΣ</t>
  </si>
  <si>
    <t>ΑΜ681720</t>
  </si>
  <si>
    <t>ΛΙΑΛΗ</t>
  </si>
  <si>
    <t>ΑΜ667436</t>
  </si>
  <si>
    <t>ΕΛΠΙΝΙΚΗ</t>
  </si>
  <si>
    <t>Χ726684</t>
  </si>
  <si>
    <t>ΑΓΓΕΛΙΔΟΥ</t>
  </si>
  <si>
    <t>ΣΩΤΗΡΙΟΣ</t>
  </si>
  <si>
    <t>ΑΗ810865</t>
  </si>
  <si>
    <t>ΡΕΒΕΚΑ</t>
  </si>
  <si>
    <t>ΑΒ199758</t>
  </si>
  <si>
    <t>ΔΑΡΔΑΜΑΝΗΣ</t>
  </si>
  <si>
    <t>ΑΖ749553</t>
  </si>
  <si>
    <t>ΚΑΟΥΡΑ</t>
  </si>
  <si>
    <t>ΑΟ634676</t>
  </si>
  <si>
    <t>ΣΤΕΦΑΝΙΔΟΥ</t>
  </si>
  <si>
    <t xml:space="preserve">ΦΩΤΕΝΗ </t>
  </si>
  <si>
    <t>ΑΑ870617</t>
  </si>
  <si>
    <t>ΜΗΝΑΟΓΛΟΥ</t>
  </si>
  <si>
    <t>Χ370109</t>
  </si>
  <si>
    <t>ΚΑΛΟΥΔΗ</t>
  </si>
  <si>
    <t>ΣΥΜΕΛΑ</t>
  </si>
  <si>
    <t>ΣΩΚΡΑΤΗΣ</t>
  </si>
  <si>
    <t>ΑΟ652464</t>
  </si>
  <si>
    <t>Φ244596</t>
  </si>
  <si>
    <t>ΑΝΑΓΝΩΣΤΗ</t>
  </si>
  <si>
    <t>ΑΖ790099</t>
  </si>
  <si>
    <t>ΧΡΙΣΤΟΔΟΥΛΙΑ</t>
  </si>
  <si>
    <t>ΑΒ192110</t>
  </si>
  <si>
    <t>ΜΕΛΙΔΟΥ</t>
  </si>
  <si>
    <t>Χ892061</t>
  </si>
  <si>
    <t>ΓΚΑΒΟΥΔΗ</t>
  </si>
  <si>
    <t>ΦΩΤΙΟΣ ΑΧΙΛΛΕΑΣ</t>
  </si>
  <si>
    <t>ΑΙ632079</t>
  </si>
  <si>
    <t>ΑΖ391301</t>
  </si>
  <si>
    <t>ΛΑΜΠΡΟΥΣΗ</t>
  </si>
  <si>
    <t>ΑΖ014841</t>
  </si>
  <si>
    <t>ΜΗΛΩΣΗ</t>
  </si>
  <si>
    <t>ΑΒ678262</t>
  </si>
  <si>
    <t>ΜΑΝΑΣΣΗ</t>
  </si>
  <si>
    <t>ΒΑΙΟΣ</t>
  </si>
  <si>
    <t>ΑΖ272197</t>
  </si>
  <si>
    <t>ΚΥΡΙΑΚΙΔΟΥ</t>
  </si>
  <si>
    <t>ΕΛΙΣΣΑΒΕΤ ΜΑΡΙΑ</t>
  </si>
  <si>
    <t>ΑΗ691889</t>
  </si>
  <si>
    <t>ΔΗΜΗΤΡΟΠΟΥΛΟΥ</t>
  </si>
  <si>
    <t>Φ481248</t>
  </si>
  <si>
    <t>ΚΑΛΥΒΙΑΝΑΚΗ</t>
  </si>
  <si>
    <t>ΑΡΓΥΡΩ</t>
  </si>
  <si>
    <t>ΑΑ374497</t>
  </si>
  <si>
    <t>ΒΑΓΙΩΤΑ</t>
  </si>
  <si>
    <t>ΑΙ350040</t>
  </si>
  <si>
    <t>ΣΠΗΛΙΩΤΗ</t>
  </si>
  <si>
    <t>ΜΑΡΙΝΑ ΕΙΡΗΝΗ</t>
  </si>
  <si>
    <t>ΑΕ822987</t>
  </si>
  <si>
    <t>ΜΠΑΤΣΙΛΗ</t>
  </si>
  <si>
    <t>ΑΕ816698</t>
  </si>
  <si>
    <t>ΧΡΙΣΤΟΔΟΥΛΟΥ</t>
  </si>
  <si>
    <t>ΜΑΡΙΑ ΝΙΚΗ</t>
  </si>
  <si>
    <t>ΑΑ318554</t>
  </si>
  <si>
    <t>ΑΒ135629</t>
  </si>
  <si>
    <t>ΔΕΜΕΡΤΖΗ</t>
  </si>
  <si>
    <t>Φ293627</t>
  </si>
  <si>
    <t>ΚΩΣΤΟΠΟΥΛΟΥ</t>
  </si>
  <si>
    <t>ΑΒ313694</t>
  </si>
  <si>
    <t>ΛΑΣΗΘΙΩΤΑΚΗ</t>
  </si>
  <si>
    <t>Χ487290</t>
  </si>
  <si>
    <t>ΔΙΤΣΟΥΔΗ</t>
  </si>
  <si>
    <t>ΑΒ490233</t>
  </si>
  <si>
    <t>ΖΕΡΙΚΙΩΤΟΥ</t>
  </si>
  <si>
    <t>ΕΥΤΥΧΙΑ</t>
  </si>
  <si>
    <t>ΑΖ073436</t>
  </si>
  <si>
    <t>ΠΑΠΟΥΤΣΗ</t>
  </si>
  <si>
    <t>Χ455310</t>
  </si>
  <si>
    <t>ΚΑΤΣΑΦΑΔΟΥ</t>
  </si>
  <si>
    <t>ΑΒ647590</t>
  </si>
  <si>
    <t>ΛΟΥΒΡΟΥ</t>
  </si>
  <si>
    <t>ΑΝΔΡΙΑΝΑ</t>
  </si>
  <si>
    <t>ΑΝ961212</t>
  </si>
  <si>
    <t>ΚΟΥΚΟΥΛΙΔΟΥ</t>
  </si>
  <si>
    <t>ΕΥΔΟΚΙΑ</t>
  </si>
  <si>
    <t>Π302848</t>
  </si>
  <si>
    <t>ΚΟΝΤΟΣ</t>
  </si>
  <si>
    <t>ΑΟ501769</t>
  </si>
  <si>
    <t>ΓΕΩΡΓΑΝΤΑ</t>
  </si>
  <si>
    <t>ΦΩΤΙΟΣ</t>
  </si>
  <si>
    <t>ΑΗ518351</t>
  </si>
  <si>
    <t>ΔΗΜΑΚΗ</t>
  </si>
  <si>
    <t>ΑΧΙΛΛΕΑΣ</t>
  </si>
  <si>
    <t>Σ888367</t>
  </si>
  <si>
    <t>ΔΟΥΛΟΥ</t>
  </si>
  <si>
    <t>Ρ389138</t>
  </si>
  <si>
    <t>ΚΩΤΣΟΥ</t>
  </si>
  <si>
    <t>ΧΑΡΑΛΑΜΠΟΣ ΚΩΤΣΟΣ</t>
  </si>
  <si>
    <t>ΑΑ496878</t>
  </si>
  <si>
    <t>ΣΙΩΖΗ</t>
  </si>
  <si>
    <t>Φ159945</t>
  </si>
  <si>
    <t>ΣΚΛΙΑ</t>
  </si>
  <si>
    <t>ΑΡ074009</t>
  </si>
  <si>
    <t>ΜΑΡΙΝΑ ΝΕΚΤΑΡΙΑ</t>
  </si>
  <si>
    <t>ΑΖ572802</t>
  </si>
  <si>
    <t>ΖΟΓΚΟΥ</t>
  </si>
  <si>
    <t>ΑΖ225561</t>
  </si>
  <si>
    <t>ΑΕ438863</t>
  </si>
  <si>
    <t>ΚΩΝΣΤΑ</t>
  </si>
  <si>
    <t>ΝΙΝΑ</t>
  </si>
  <si>
    <t>ΑΒ563928</t>
  </si>
  <si>
    <t>ΠΑΝΤΕΛΙΔΟΥ</t>
  </si>
  <si>
    <t>ΑΕ820824</t>
  </si>
  <si>
    <t>ΤΣΑΡΟΥΧΑΣ</t>
  </si>
  <si>
    <t>ΝΕΚΤΑΡΙΟΣ ΘΕΟΧΑΡΗΣ</t>
  </si>
  <si>
    <t>ΑΝ669077</t>
  </si>
  <si>
    <t>ΚΡΗΤΙΚΑΚΟΥ</t>
  </si>
  <si>
    <t>ΑΝ451021</t>
  </si>
  <si>
    <t>ΘΕΟΧΑΡΙΔΟΥ</t>
  </si>
  <si>
    <t>ΘΕΟΧΑΡΗΣ</t>
  </si>
  <si>
    <t>Χ278102</t>
  </si>
  <si>
    <t>ΚΑΦΑΡΟΒΑ</t>
  </si>
  <si>
    <t>ΑΝ565726</t>
  </si>
  <si>
    <t>ΔΟΥΜΠΗ</t>
  </si>
  <si>
    <t>ΑΗ331715</t>
  </si>
  <si>
    <t>ΚΙΟΥΡΤΣΙΔΗ</t>
  </si>
  <si>
    <t>ΑΗ778667</t>
  </si>
  <si>
    <t>ΤΡΟΥΣΑ</t>
  </si>
  <si>
    <t>ΑΝ879848</t>
  </si>
  <si>
    <t>ΠΟΤΑΜΙΑΝΟΥ</t>
  </si>
  <si>
    <t>ΓΕΡΑΣΙΜΟΣ ΣΩΤΗΡΙΟΣ</t>
  </si>
  <si>
    <t>ΑΒ825054</t>
  </si>
  <si>
    <t>ΜΠΑΛΑΜΠΑΝΙΔΟΥ</t>
  </si>
  <si>
    <t>Ξ302321</t>
  </si>
  <si>
    <t>ΚΟΛΟΒΟΥ</t>
  </si>
  <si>
    <t>ΑΛΙΚΗ</t>
  </si>
  <si>
    <t>Σ788160</t>
  </si>
  <si>
    <t>ΠΕΝΛΟΓΛΟΥ</t>
  </si>
  <si>
    <t>ΒΗΘΛΕΕΜ</t>
  </si>
  <si>
    <t>ΠΑΦΝΟΥΔΙΟΣ</t>
  </si>
  <si>
    <t>ΑΚ326272</t>
  </si>
  <si>
    <t>ΠΟΥΤΟΥΚΗ</t>
  </si>
  <si>
    <t>ΑΡΙΣΤΕΙΔΗΣ</t>
  </si>
  <si>
    <t>ΑΑ411372</t>
  </si>
  <si>
    <t>ΜΑΝΩΛΗΣ</t>
  </si>
  <si>
    <t>ΑΜ091960</t>
  </si>
  <si>
    <t>ΧΑΛΚΟΥ</t>
  </si>
  <si>
    <t>ΑΕ594014</t>
  </si>
  <si>
    <t>ΚΟΥΤΣΙΚΟΥ</t>
  </si>
  <si>
    <t>ΑΗ797646</t>
  </si>
  <si>
    <t>ΚΑΡΑΠΑΝΑΓΟΣ</t>
  </si>
  <si>
    <t>ΑΟ986927</t>
  </si>
  <si>
    <t>ΓΙΑΝΝΟΥΛΗ</t>
  </si>
  <si>
    <t>Χ988268</t>
  </si>
  <si>
    <t>ΠΑΥΛΟΥ</t>
  </si>
  <si>
    <t>ΑΟ042444</t>
  </si>
  <si>
    <t>ΔΟΜΟΥΖΗ</t>
  </si>
  <si>
    <t>Χ419529</t>
  </si>
  <si>
    <t>ΣΑΡΙΔΑΚΗ</t>
  </si>
  <si>
    <t>ΑΒ183609</t>
  </si>
  <si>
    <t>ΑΜ637033</t>
  </si>
  <si>
    <t>ΝΤΑΓΙΑΝΤΑ</t>
  </si>
  <si>
    <t>Α Ν 429057</t>
  </si>
  <si>
    <t>ΑΝΘΟΥΛΑ</t>
  </si>
  <si>
    <t>ΑΚ289195</t>
  </si>
  <si>
    <t>ΓΙΑΝΝΑΡΑΚΗ</t>
  </si>
  <si>
    <t>ΑΙ461562</t>
  </si>
  <si>
    <t>Ρ240541</t>
  </si>
  <si>
    <t>ΔΡΑΚΑΚΗΣ</t>
  </si>
  <si>
    <t>ΑΜ700658</t>
  </si>
  <si>
    <t>ΠΟΥΤΑΧΙΔΟΥ</t>
  </si>
  <si>
    <t>Ρ983360</t>
  </si>
  <si>
    <t>ΛΟΥΤΑ</t>
  </si>
  <si>
    <t>ΔΙΟΝΥΣΙΑ</t>
  </si>
  <si>
    <t>ΑΙ103145</t>
  </si>
  <si>
    <t>ΜΠΑΛΟΥΧΑ</t>
  </si>
  <si>
    <t xml:space="preserve">ΣΠΥΡΙΔΟΥΛΑ </t>
  </si>
  <si>
    <t>ΑΙ136604</t>
  </si>
  <si>
    <t>ΠΑΣΧΑΛΗ</t>
  </si>
  <si>
    <t>ΑΒ472878</t>
  </si>
  <si>
    <t>ΤΣΙΟΥΡΒΑ</t>
  </si>
  <si>
    <t>Ξ708208</t>
  </si>
  <si>
    <t>ΚΑΡΟΥΤΖΟΥ</t>
  </si>
  <si>
    <t>ΠΑΝΑΓΙΩΤΑ ΒΑΡΒΑΡΑ</t>
  </si>
  <si>
    <t>ΑΚ729211</t>
  </si>
  <si>
    <t>ΜΑΛΤΕΠΙΩΤΗ</t>
  </si>
  <si>
    <t>ΑΒ466880</t>
  </si>
  <si>
    <t>ΝΟΝΑ ΓΕΩΡΓΙΟΥ</t>
  </si>
  <si>
    <t>ΑΖ304195</t>
  </si>
  <si>
    <t>ΑΡΒΑΝΙΤΑΚΗ</t>
  </si>
  <si>
    <t>ΦΑΝΟΥΡΙΟΣ</t>
  </si>
  <si>
    <t>Ρ814201</t>
  </si>
  <si>
    <t>ΧΡΥΣΑΝΘΟΠΟΥΛΟΥ</t>
  </si>
  <si>
    <t>ΑΒ076826</t>
  </si>
  <si>
    <t>ΛΕΥΤΕΡΗ</t>
  </si>
  <si>
    <t>ΕΛΕΑΝΑ</t>
  </si>
  <si>
    <t>ΒΑΣΙΛΗΣ</t>
  </si>
  <si>
    <t>ΑΚ295210</t>
  </si>
  <si>
    <t>ΑΝΑΣΤΑΣΟΠΟΥΛΟΥ</t>
  </si>
  <si>
    <t>Χ641523</t>
  </si>
  <si>
    <t>ΠΟΤΙΡΗ</t>
  </si>
  <si>
    <t>ΖΑΧΑΡΕΝΙΑ</t>
  </si>
  <si>
    <t>ΑΒ873661</t>
  </si>
  <si>
    <t>ΜΑΛΛΙΟΥ</t>
  </si>
  <si>
    <t>ΧΡΥΣΑΥΓΗ</t>
  </si>
  <si>
    <t>ΑΝ768582</t>
  </si>
  <si>
    <t>ΣΙΩΚΑ</t>
  </si>
  <si>
    <t>Σ998299</t>
  </si>
  <si>
    <t>ΠΑΠΑΒΑΣΙΛΕΙΟΥ</t>
  </si>
  <si>
    <t xml:space="preserve">ΑΙΚΑΤΕΡΙΝΗ </t>
  </si>
  <si>
    <t xml:space="preserve">ΝΙΚΟΛΑΟΣ </t>
  </si>
  <si>
    <t>ΑΖ304419</t>
  </si>
  <si>
    <t>ΚΩΝΣΤΑΝΤΑΡΑ</t>
  </si>
  <si>
    <t>ΕΛΕΥΘΕΡΙΑ ΕΙΡΗΝΗ</t>
  </si>
  <si>
    <t>Χ419165</t>
  </si>
  <si>
    <t>ΘΕΟΔΩΡΟΥ</t>
  </si>
  <si>
    <t>ΑΚ283394</t>
  </si>
  <si>
    <t>ΓΕΡΟΓΙΑΝΝΗ</t>
  </si>
  <si>
    <t>ΑΝ288355</t>
  </si>
  <si>
    <t>ΙΟΡΔΑΝΙΔΟΥ</t>
  </si>
  <si>
    <t>ΑΕ395621</t>
  </si>
  <si>
    <t>ΠΙΠΕΡΙΔΟΥ</t>
  </si>
  <si>
    <t>ΑΙ181704</t>
  </si>
  <si>
    <t>ΑΙ852399</t>
  </si>
  <si>
    <t>ΠΑΠΑΚΑΛΑ</t>
  </si>
  <si>
    <t>ΑΙ326082</t>
  </si>
  <si>
    <t>ΚΟΤΟΠΟΥΛΗ</t>
  </si>
  <si>
    <t>ΑΜ246303</t>
  </si>
  <si>
    <t>ΨΩΜΑ ΛΥΜΠΑΡΗ</t>
  </si>
  <si>
    <t>Σ478453</t>
  </si>
  <si>
    <t>ΤΣΙΩΤΡΑ</t>
  </si>
  <si>
    <t>ΕΥΑΓΕΛΙΑ</t>
  </si>
  <si>
    <t>ΑΙ855925</t>
  </si>
  <si>
    <t>ΕΜΦΕΤΖΟΓΛΟΥ</t>
  </si>
  <si>
    <t>ΑΗ387294</t>
  </si>
  <si>
    <t>ΚΟΤΤΑ</t>
  </si>
  <si>
    <t>ΑΝ816299</t>
  </si>
  <si>
    <t>ΤΡΙΑΝΤΑΦΥΛΛΙΑ</t>
  </si>
  <si>
    <t>ΑΙ793723</t>
  </si>
  <si>
    <t>ΒΑΧΑΒΙΩΛΟΥ</t>
  </si>
  <si>
    <t xml:space="preserve">ΓΕΩΡΓΙΑ ΙΩΑΝΝΑ </t>
  </si>
  <si>
    <t>ΚΩΝ/ΝΟΣ</t>
  </si>
  <si>
    <t>ΑΝ158029</t>
  </si>
  <si>
    <t>ΠΑΝΤΑΖΙΔΟΥ</t>
  </si>
  <si>
    <t>ΑΝ405772</t>
  </si>
  <si>
    <t>ΜΙΧΟΣ</t>
  </si>
  <si>
    <t>ΑΖ287671</t>
  </si>
  <si>
    <t>ΜΠΛΑΒΑΚΗ</t>
  </si>
  <si>
    <t>ΑΕ673612</t>
  </si>
  <si>
    <t>ΝΙΚΟΛΑΟΥ</t>
  </si>
  <si>
    <t>Τ152198</t>
  </si>
  <si>
    <t>ΜΑΣΤΡΟΓΙΑΝΝΗ</t>
  </si>
  <si>
    <t>Σ936511</t>
  </si>
  <si>
    <t>ΘΕΟΔΩΡΟΠΟΥΛΟΥ</t>
  </si>
  <si>
    <t>ΑΝ603124</t>
  </si>
  <si>
    <t>ΔΕΝΔΡΙΝΟΥ</t>
  </si>
  <si>
    <t>ΑΕ754059</t>
  </si>
  <si>
    <t>ΤΑΓΚΑΡΕΛΗ</t>
  </si>
  <si>
    <t>ΑΒ410444</t>
  </si>
  <si>
    <t>ΚΟΛΑ</t>
  </si>
  <si>
    <t>ΑΜΑΛΙΑ</t>
  </si>
  <si>
    <t>ΛΑΚΗ</t>
  </si>
  <si>
    <t>ΑΜ590571</t>
  </si>
  <si>
    <t>ΠΑΠΑΖΩΗ</t>
  </si>
  <si>
    <t>ΑΒ794357</t>
  </si>
  <si>
    <t>ΤΣΑΝΑΚΑΛΙΩΤΗ ΠΑΝΤΕΛΑΚΗ</t>
  </si>
  <si>
    <t>ΑΜ056595</t>
  </si>
  <si>
    <t>ΠΟΡΗ</t>
  </si>
  <si>
    <t>Σ650129</t>
  </si>
  <si>
    <t>ΠΑΓΟΥΝΗ</t>
  </si>
  <si>
    <t>Φ351235</t>
  </si>
  <si>
    <t>ΛΑΒΕΝΤΖΑΚΗ</t>
  </si>
  <si>
    <t>ΧΡΥΣΗ</t>
  </si>
  <si>
    <t>ΑΙ944097</t>
  </si>
  <si>
    <t>ΜΠΟΖΙΝΟΥ</t>
  </si>
  <si>
    <t>ΠΑΣΧΑΛΙΝΑ</t>
  </si>
  <si>
    <t>ΑΕ129184</t>
  </si>
  <si>
    <t>ΣΑΓΚΙΝΕΤΟΥ</t>
  </si>
  <si>
    <t>ΛΕΟΝΑΡΔΟΣ</t>
  </si>
  <si>
    <t>ΑΗ192948</t>
  </si>
  <si>
    <t>ΑΛΑΦΟΥΖΟΥ</t>
  </si>
  <si>
    <t>ΙΑΚΩΒΟΣ</t>
  </si>
  <si>
    <t>ΑΝ112573</t>
  </si>
  <si>
    <t>ΚΑΡΑΤΑΣΟΥ</t>
  </si>
  <si>
    <t>Χ790842</t>
  </si>
  <si>
    <t>ΒΟΥΛΑΛΑ</t>
  </si>
  <si>
    <t>ΑΗ932101</t>
  </si>
  <si>
    <t>ΚΥΡΚΩΣΤΑ</t>
  </si>
  <si>
    <t>ΑΙΜΙΛΙΑ</t>
  </si>
  <si>
    <t>Χ250462</t>
  </si>
  <si>
    <t>ΖΑΧΑΡΟΠΟΥΛΟΥ</t>
  </si>
  <si>
    <t>ΒΑΓΙΑ</t>
  </si>
  <si>
    <t>ΑΑ972205</t>
  </si>
  <si>
    <t>ΓΙΑΝΝΑΚΑΚΗ</t>
  </si>
  <si>
    <t>ΜΑΝΟΥΣΟΣ</t>
  </si>
  <si>
    <t>ΑΝ642968</t>
  </si>
  <si>
    <t>ΣΓΙΝΤΖΑ</t>
  </si>
  <si>
    <t>ΜΠΟΖΑΚΗ</t>
  </si>
  <si>
    <t>ΖΑΦΕΙΡΗΣ</t>
  </si>
  <si>
    <t>ΑΖ340932</t>
  </si>
  <si>
    <t>ΤΖΗΓΚΑ</t>
  </si>
  <si>
    <t>ΛΟΥΙΖΑ</t>
  </si>
  <si>
    <t>ΖΗΖΗΣ</t>
  </si>
  <si>
    <t>ΑΒ691595</t>
  </si>
  <si>
    <t>ΛΑΓΟΓΙΑΝΝΗ</t>
  </si>
  <si>
    <t>ΑΒ791919</t>
  </si>
  <si>
    <t>ΝΤΡΟΥΖΟΥ</t>
  </si>
  <si>
    <t>ΑΗ475296</t>
  </si>
  <si>
    <t>ΜΗΤΑΚΟΥ</t>
  </si>
  <si>
    <t>ΕΥΦΡΟΣΥΝΗ</t>
  </si>
  <si>
    <t>ΠΑΡΙΣΗΣ</t>
  </si>
  <si>
    <t>ΑΒ871500</t>
  </si>
  <si>
    <t>ΤΑΣΟΥΛΑ</t>
  </si>
  <si>
    <t>Π251969</t>
  </si>
  <si>
    <t>ΜΑΟΥΝΗ</t>
  </si>
  <si>
    <t>ΑΖ451516</t>
  </si>
  <si>
    <t>ΔΑΡΣΑΚΛΗ</t>
  </si>
  <si>
    <t>ΑΑ767643</t>
  </si>
  <si>
    <t>ΚΑΡΑΠΕΤΡΙΔΟΥ</t>
  </si>
  <si>
    <t>ΑΕ677045</t>
  </si>
  <si>
    <t>ΜΠΑΣΙΟΥ</t>
  </si>
  <si>
    <t>Χ947201</t>
  </si>
  <si>
    <t>ΣΑΡΑΓΙΩΤΗ</t>
  </si>
  <si>
    <t>Χ757369</t>
  </si>
  <si>
    <t>ΚΑΜΖΕΛΑ</t>
  </si>
  <si>
    <t>Χ546397</t>
  </si>
  <si>
    <t>ΦΩΤΕΙΝΕΑ</t>
  </si>
  <si>
    <t>ΚΑΛΛΙΟΠΗ ΔΑΝΑΗ</t>
  </si>
  <si>
    <t>Χ560513</t>
  </si>
  <si>
    <t>ΦΥΣΑΚΗ</t>
  </si>
  <si>
    <t>ΦΙΛΙΩ</t>
  </si>
  <si>
    <t>ΑΗ468803</t>
  </si>
  <si>
    <t>ΜΠΑΤΖΑΚΑ</t>
  </si>
  <si>
    <t>ΚΑΛΛΙΟΠΗ ΧΡΙΣΤΙΝΑ</t>
  </si>
  <si>
    <t>ΑΖ430268</t>
  </si>
  <si>
    <t>ΚΟΒΑΝΗ</t>
  </si>
  <si>
    <t>ΑΙ584544</t>
  </si>
  <si>
    <t>ΚΟΝΤΟΡΟΥΔΑ</t>
  </si>
  <si>
    <t>ΑΕ159380</t>
  </si>
  <si>
    <t>ΚΡΑΝΙΔΙΩΤΗ</t>
  </si>
  <si>
    <t>ΑΚ803233</t>
  </si>
  <si>
    <t>ΝΙΑΤΣΙΟΥ</t>
  </si>
  <si>
    <t>ΜΑΤΙΝΑ</t>
  </si>
  <si>
    <t>Σ903596</t>
  </si>
  <si>
    <t>ΧΑΤΖΗΓΕΩΡΓΙΟΥ</t>
  </si>
  <si>
    <t>ΣΟΦΟΚΛΗΣ</t>
  </si>
  <si>
    <t>Ν923655</t>
  </si>
  <si>
    <t>ΠΑΣΧΟΥ</t>
  </si>
  <si>
    <t>ΑΕ125610</t>
  </si>
  <si>
    <t>ΑΒ679166</t>
  </si>
  <si>
    <t>ΟΙΚΟΝΟΜΟΠΟΥΛΟΥ</t>
  </si>
  <si>
    <t>ΕΙΡΗΝΗ ΜΑΡΙΑ</t>
  </si>
  <si>
    <t>ΑΒ626427</t>
  </si>
  <si>
    <t>ΠΡΟΒΑΤΙΔΟΥ</t>
  </si>
  <si>
    <t>ΑΜ913804</t>
  </si>
  <si>
    <t>ΑΑ321798</t>
  </si>
  <si>
    <t>ΖΑΦΕΙΡΙΟΥ ΠΑΡΟΥΤΟΓΛΟΥ</t>
  </si>
  <si>
    <t>ΜΑΡΙΑ ΑΓΓΕΛΑ</t>
  </si>
  <si>
    <t>ΖΑΦΕΙΡΙΟΣ</t>
  </si>
  <si>
    <t>ΑΜ662309</t>
  </si>
  <si>
    <t>ΜΙΧΟΥ</t>
  </si>
  <si>
    <t>ΑΙ251516</t>
  </si>
  <si>
    <t>ΧΑΡΑΛΑΜΠΙΑ</t>
  </si>
  <si>
    <t>ΑΑ272672</t>
  </si>
  <si>
    <t>ΤΣΟΛΑΚΙΔΟΥ</t>
  </si>
  <si>
    <t>ΑΖ906586</t>
  </si>
  <si>
    <t>ΜΠΟΥΤΣΕΛΗ</t>
  </si>
  <si>
    <t>Χ788612</t>
  </si>
  <si>
    <t>ΚΟΥΤΣΙΜΑΝΗ</t>
  </si>
  <si>
    <t>ΑΒ371978</t>
  </si>
  <si>
    <t>ΝΙΚΟΛΑΚΟΠΟΥΛΟΥ</t>
  </si>
  <si>
    <t>Σ234049</t>
  </si>
  <si>
    <t>ΓΑΤΣΙΟΥ</t>
  </si>
  <si>
    <t>ΑΒ724669</t>
  </si>
  <si>
    <t>ΝΤΟΥΚΛΑΝΙΔΗ</t>
  </si>
  <si>
    <t>ΑΕ806165</t>
  </si>
  <si>
    <t>ΚΑΠΕΟΛΔΑΣΗ</t>
  </si>
  <si>
    <t>ΑΜ385925</t>
  </si>
  <si>
    <t>ΘΩΜΟΠΟΥΛΟΥ</t>
  </si>
  <si>
    <t>ΑΙ776376</t>
  </si>
  <si>
    <t>ΓΚΟΤΣΟΠΟΥΛΟΥ</t>
  </si>
  <si>
    <t>ΑΒ753226</t>
  </si>
  <si>
    <t>ΔΗΜΑΡΧΟΥ</t>
  </si>
  <si>
    <t>ΑΜ005185</t>
  </si>
  <si>
    <t>ΤΣΑΡΑΣ</t>
  </si>
  <si>
    <t>ΣΠΥΡΟΣ</t>
  </si>
  <si>
    <t>ΑΙ797918</t>
  </si>
  <si>
    <t>ΚΑΡΑΔΟΥΚΑ</t>
  </si>
  <si>
    <t>Ξ708909</t>
  </si>
  <si>
    <t>ΠΕΡΡΗ</t>
  </si>
  <si>
    <t>ΧΟΟ7074</t>
  </si>
  <si>
    <t>ΛΥΚΟΥΔΗ</t>
  </si>
  <si>
    <t>ΑΚ573643</t>
  </si>
  <si>
    <t>ΚΑΛΟΓΡΙΑΝΙΤΗ</t>
  </si>
  <si>
    <t>ΚΩΝΣΤΑΝΤ</t>
  </si>
  <si>
    <t>Π906005</t>
  </si>
  <si>
    <t>ΧΑΛΚΙΑ</t>
  </si>
  <si>
    <t>ΑΙΚΑΤΕΡΙΝΑ</t>
  </si>
  <si>
    <t>ΑΟ415298</t>
  </si>
  <si>
    <t>ΓΟΥΡΝΑΡΗ</t>
  </si>
  <si>
    <t>ΕΥΘΥΜΙΑ</t>
  </si>
  <si>
    <t>ΑΖ575475</t>
  </si>
  <si>
    <t>ΚΑΠΕΛΛΑ</t>
  </si>
  <si>
    <t>ΑΑ423252</t>
  </si>
  <si>
    <t>ΔΙΑΜΑΝΤΗ</t>
  </si>
  <si>
    <t>AΙ764603</t>
  </si>
  <si>
    <t>ΡΙΖΟΥ</t>
  </si>
  <si>
    <t>ΑΙ853891</t>
  </si>
  <si>
    <t>ΑΘΑΝΑΣΙΟΥ</t>
  </si>
  <si>
    <t>Χ718489</t>
  </si>
  <si>
    <t>ΑΡΝΑΡΕΛΛΗ</t>
  </si>
  <si>
    <t>Ρ246794</t>
  </si>
  <si>
    <t>Ξ666685</t>
  </si>
  <si>
    <t>ΔΟΥΒΙΚΑ</t>
  </si>
  <si>
    <t>ΑΝ961382</t>
  </si>
  <si>
    <t>ΜΠΙΛΙΑΣ</t>
  </si>
  <si>
    <t>ΑΒ766062</t>
  </si>
  <si>
    <t>ΠΑΠΑΝΙΚΟΛΑΟΥ</t>
  </si>
  <si>
    <t>ΜΑΡΙΜΙΝΑ</t>
  </si>
  <si>
    <t>ΑΗ087000</t>
  </si>
  <si>
    <t>ΣΙΔΗΡΟΠΟΥΛΟΥ</t>
  </si>
  <si>
    <t>ΓΕΣΘΗΜΑΝΗ</t>
  </si>
  <si>
    <t>Σ765884</t>
  </si>
  <si>
    <t>ΚΟΤΑΡΙΔΗ</t>
  </si>
  <si>
    <t>ΑΝ267794</t>
  </si>
  <si>
    <t>ΧΡΙΣΤΟΠΟΥΛΟΥ</t>
  </si>
  <si>
    <t>ΑΚ070779</t>
  </si>
  <si>
    <t>ΜΠΑΛΛΟΥ</t>
  </si>
  <si>
    <t>ΑΚ022834</t>
  </si>
  <si>
    <t>ΣΠΑΡΑΓΓΗ</t>
  </si>
  <si>
    <t>Σ470890</t>
  </si>
  <si>
    <t>ΠΑΛΑΙΟΛΟΓΟΥ</t>
  </si>
  <si>
    <t>ΑΝ664771</t>
  </si>
  <si>
    <t>ΓΙΑΛΟΥ</t>
  </si>
  <si>
    <t>ΑΟ486635</t>
  </si>
  <si>
    <t>ΜΟΥΡΕΛΑΤΟΥ</t>
  </si>
  <si>
    <t>ΓΕΡΑΣΙΜΟΥΛΑ</t>
  </si>
  <si>
    <t>ΑΒ325475</t>
  </si>
  <si>
    <t>ΓΙΑΝΝΑΚΗ</t>
  </si>
  <si>
    <t>ΑΙ229042</t>
  </si>
  <si>
    <t>ΧΑΙΔΩ</t>
  </si>
  <si>
    <t>ΑΙ278070</t>
  </si>
  <si>
    <t>ΚΑΡΑΓΕΩΡΓΟΠΟΥΛΟΥ</t>
  </si>
  <si>
    <t>ΑΗ774604</t>
  </si>
  <si>
    <t>ΓΚΑΜΠΕΤΑ</t>
  </si>
  <si>
    <t>ΑΜ298622</t>
  </si>
  <si>
    <t>ΑΒ402227</t>
  </si>
  <si>
    <t>ΙΑΚΩΒΑΚΗ</t>
  </si>
  <si>
    <t>ΑΟ952553</t>
  </si>
  <si>
    <t>ΑΝΔΡΟΜΑΧΗ</t>
  </si>
  <si>
    <t>ΑΜ901335</t>
  </si>
  <si>
    <t>ΒΙΛΛΙΑ</t>
  </si>
  <si>
    <t>ΣΤΑΜΑΤΙΝΑ</t>
  </si>
  <si>
    <t>ΑΗ532408</t>
  </si>
  <si>
    <t>ΜΠΙΜΠΟΥΔΗ</t>
  </si>
  <si>
    <t>ΑΑ457053</t>
  </si>
  <si>
    <t>ΚΟΛΙΠΕΤΣΑ</t>
  </si>
  <si>
    <t>Χ285198</t>
  </si>
  <si>
    <t>ΡΗΓΑ</t>
  </si>
  <si>
    <t>ΜΑΡΙΑ ΑΝΑΣΤΑ</t>
  </si>
  <si>
    <t>ΑΗ022326</t>
  </si>
  <si>
    <t>ΛΙΑΚΟΥ</t>
  </si>
  <si>
    <t>ΑΒ962153</t>
  </si>
  <si>
    <t>ΘΕΟΧΑΡΗ</t>
  </si>
  <si>
    <t>ΑΖ818786</t>
  </si>
  <si>
    <t>ΓΡΑΜΜΑΤΙΚΟΥ</t>
  </si>
  <si>
    <t>Χ433458</t>
  </si>
  <si>
    <t>ΚΟΝΤΟΠΙΔΗ</t>
  </si>
  <si>
    <t>ΑΟ554380</t>
  </si>
  <si>
    <t>ΒΑΙΟΠΟΥΛΟΥ</t>
  </si>
  <si>
    <t>ΑΕ631296</t>
  </si>
  <si>
    <t>ΧΡΥΣΑΦΟΥΛΑ</t>
  </si>
  <si>
    <t>ΑΖ081862</t>
  </si>
  <si>
    <t>ΨΑΙΛΑ</t>
  </si>
  <si>
    <t>ΑΝ148679</t>
  </si>
  <si>
    <t>ΠΑΛΑΜΙΔΗ ΡΙΓΚΕΡ</t>
  </si>
  <si>
    <t>ΑΙ625413</t>
  </si>
  <si>
    <t>Σ783387</t>
  </si>
  <si>
    <t>ΘΕΟΦΙΛΟΥ</t>
  </si>
  <si>
    <t>Χ833165</t>
  </si>
  <si>
    <t>ΞΥΛΟΥΔΗ</t>
  </si>
  <si>
    <t>ΑΖ845435</t>
  </si>
  <si>
    <t>ΠΡΟΚΟΠΙΟΥ</t>
  </si>
  <si>
    <t>ΕΥΑΓΓΕΛΙΑ ΠΑΡΑΣΚΕΥΗ</t>
  </si>
  <si>
    <t>ΑΑ010040</t>
  </si>
  <si>
    <t>ΚΑΣΙΔΗ</t>
  </si>
  <si>
    <t>ΑΜ278723</t>
  </si>
  <si>
    <t>ΠΙΠΕΡΗ</t>
  </si>
  <si>
    <t>ΘΕΟΛΟΓΟΣ</t>
  </si>
  <si>
    <t>ΑΖ878999</t>
  </si>
  <si>
    <t>ΑΑ378355</t>
  </si>
  <si>
    <t>ΜΑΥΡΟΓΙΑΝΝΑΚΗ</t>
  </si>
  <si>
    <t>ΕΥΘΑΛΙΑ</t>
  </si>
  <si>
    <t>ΑΝ842509</t>
  </si>
  <si>
    <t>ΡΟΔΑΚΗ</t>
  </si>
  <si>
    <t>ΑΚ469003</t>
  </si>
  <si>
    <t>ΑΝΔΡΕΑΚΕΝΑ</t>
  </si>
  <si>
    <t>ΔΕΣΠΟΙΝΑ ΜΑΡΙΑ</t>
  </si>
  <si>
    <t>Χ604200</t>
  </si>
  <si>
    <t>ΓΚΑΡΛΗ</t>
  </si>
  <si>
    <t>ΑΙ846901</t>
  </si>
  <si>
    <t>ΝΤΟΥΡΑΛΗ</t>
  </si>
  <si>
    <t>Χ604480</t>
  </si>
  <si>
    <t>ΜΠΑΛΙΟΥ</t>
  </si>
  <si>
    <t>ΑΗ843078</t>
  </si>
  <si>
    <t>ΜΠΟΤΖΟΛΑΚΗ</t>
  </si>
  <si>
    <t>Σ504306</t>
  </si>
  <si>
    <t>ΜΠΑΛΑΛΗ</t>
  </si>
  <si>
    <t>ΓΡΗΓΟΡΙΑ</t>
  </si>
  <si>
    <t>ΕΛΠΙΔΟΦΟΡΟΣ</t>
  </si>
  <si>
    <t>ΑΒ178160</t>
  </si>
  <si>
    <t>ΜΑΝΤΖΙΩΚΑ</t>
  </si>
  <si>
    <t>ΚΥΠΑΡΙΣΣΙΑ</t>
  </si>
  <si>
    <t>ΑΙ286903</t>
  </si>
  <si>
    <t>ΚΟΝΤΕ</t>
  </si>
  <si>
    <t>ΑΡ432763</t>
  </si>
  <si>
    <t>ΧΑΤΖΗΜΑΝΟΥ</t>
  </si>
  <si>
    <t>ΑΟ723250</t>
  </si>
  <si>
    <t>ΠΗΤΤΑ</t>
  </si>
  <si>
    <t>ΡΟΔΟΠΗ</t>
  </si>
  <si>
    <t>ΣΤΑΜΑΤΗΣ</t>
  </si>
  <si>
    <t>ΑΒ352398</t>
  </si>
  <si>
    <t>ΓΩΓΟΥ</t>
  </si>
  <si>
    <t>ΑΒ373536</t>
  </si>
  <si>
    <t>ΣΚΥΛΛΑ</t>
  </si>
  <si>
    <t>ΑΗ 954346</t>
  </si>
  <si>
    <t>ΜΗΤΣΟΠΟΥΛΟΥ</t>
  </si>
  <si>
    <t>ΑΗ805540</t>
  </si>
  <si>
    <t>ΛΑΖΟΠΟΥΛΟΥ</t>
  </si>
  <si>
    <t>ΑΖ850868</t>
  </si>
  <si>
    <t>ΦΩΚΑ</t>
  </si>
  <si>
    <t>ΑΒ611306</t>
  </si>
  <si>
    <t>ΑΝΤΖΑΚΑ</t>
  </si>
  <si>
    <t>ΑΝ369370</t>
  </si>
  <si>
    <t xml:space="preserve">ΡΟΥΣΙΑΚΗ </t>
  </si>
  <si>
    <t xml:space="preserve">ΠΑΝΑΓΙΩΤΑ </t>
  </si>
  <si>
    <t>ΑΖ003126</t>
  </si>
  <si>
    <t>ΠΡΟΦΥΡΗ</t>
  </si>
  <si>
    <t>ΑΗ529228</t>
  </si>
  <si>
    <t>ΚΟΜΝΙΔΟΥ</t>
  </si>
  <si>
    <t>ΑΕ192055</t>
  </si>
  <si>
    <t>ΔΟΥΚΑ</t>
  </si>
  <si>
    <t>Π900390</t>
  </si>
  <si>
    <t>ΑΙ849075</t>
  </si>
  <si>
    <t>ΖΕΡΒΑ</t>
  </si>
  <si>
    <t>ΑΚ969307</t>
  </si>
  <si>
    <t>ΑΟ350007</t>
  </si>
  <si>
    <t>ΓΑΛΑΝΗ</t>
  </si>
  <si>
    <t>ΜΥΡΤΩ</t>
  </si>
  <si>
    <t>ΑΗ273408</t>
  </si>
  <si>
    <t>ΜΠΛΑΝΤΗ</t>
  </si>
  <si>
    <t>ΑΕ801991</t>
  </si>
  <si>
    <t>ΠΑΡΑΣΚΕΥΟΠΟΥΛΟΥ</t>
  </si>
  <si>
    <t>ΑΕ235266</t>
  </si>
  <si>
    <t>ΠΑΡΜΑΚΗ</t>
  </si>
  <si>
    <t>ΑΖ499613</t>
  </si>
  <si>
    <t>ΜΑΛΟΥΧΟΥ</t>
  </si>
  <si>
    <t>ΑΒ394898</t>
  </si>
  <si>
    <t>ΒΟΥΛΓΑΡΗ</t>
  </si>
  <si>
    <t>Π251706</t>
  </si>
  <si>
    <t>ΛΑΔΟΠΟΥΛΟΥ</t>
  </si>
  <si>
    <t>ΔΕΣΠΟΙΝΑ ΕΥΑΓΓΕΛΙΑ</t>
  </si>
  <si>
    <t>ΑΟ948338</t>
  </si>
  <si>
    <t>ΜΥΤΙΛΗΝΑΙΟΥ</t>
  </si>
  <si>
    <t>ΑΜ264287</t>
  </si>
  <si>
    <t>ΑΡ217385</t>
  </si>
  <si>
    <t>ΖΑΦΕΙΡΟΠΟΥΛΟΥ</t>
  </si>
  <si>
    <t>ΑΕ051839</t>
  </si>
  <si>
    <t>ΑΝΑΣΤΑΣΑΚΗ</t>
  </si>
  <si>
    <t>ΡΟΔΗ ΕΛΕΥΘΕΡΙΑ</t>
  </si>
  <si>
    <t>ΑΝ588014</t>
  </si>
  <si>
    <t>ΝΙΚΟΥ</t>
  </si>
  <si>
    <t>ΣΤΕΡΓΙΟΣ</t>
  </si>
  <si>
    <t>ΑΖ179087</t>
  </si>
  <si>
    <t>ΒΑΝΤΑΡΑΚΗ</t>
  </si>
  <si>
    <t>ΑΙ212040</t>
  </si>
  <si>
    <t>ΑΒ427119</t>
  </si>
  <si>
    <t>ΠΕΤΡΑ</t>
  </si>
  <si>
    <t>Χ760839</t>
  </si>
  <si>
    <t>ΒΑΣΙΛΑΚΟΥ</t>
  </si>
  <si>
    <t xml:space="preserve">ΣΟΦΙΑ </t>
  </si>
  <si>
    <t>Σ507482</t>
  </si>
  <si>
    <t>ΑΡΙΣΤΟΤΕΛΗΣ</t>
  </si>
  <si>
    <t>ΑΗ885968</t>
  </si>
  <si>
    <t>ΚΟΚΚΙΝΑΚΟΥ</t>
  </si>
  <si>
    <t>ΑΗ236727</t>
  </si>
  <si>
    <t>ΜΠΟΥΚΛΑ</t>
  </si>
  <si>
    <t>ΒΕΝΕΤΙΑ</t>
  </si>
  <si>
    <t>ΑΝ040770</t>
  </si>
  <si>
    <t>ΡΙΓΛΗ</t>
  </si>
  <si>
    <t>ΑΜ028705</t>
  </si>
  <si>
    <t>ΖΗΡΔΕΛΗ</t>
  </si>
  <si>
    <t>ΑΜ821635</t>
  </si>
  <si>
    <t>ΠΑΡΑΣΚΕΥΑΙΔΟΥ</t>
  </si>
  <si>
    <t>ΑΒ895689</t>
  </si>
  <si>
    <t>ΣΑΑΜΠΑΝ</t>
  </si>
  <si>
    <t>ΣΤΕΦΑΝΙΑ</t>
  </si>
  <si>
    <t>ΑΗ628654</t>
  </si>
  <si>
    <t>ΑΡΓΥΡΑΚΗ</t>
  </si>
  <si>
    <t>ΦΙΛΟΚΤΗΤΗΣ</t>
  </si>
  <si>
    <t>ΑΡ039522</t>
  </si>
  <si>
    <t>ΑΟ360222</t>
  </si>
  <si>
    <t>ΚΩΣΤΑΚΟΥ</t>
  </si>
  <si>
    <t>ΔΑΒΟΣ</t>
  </si>
  <si>
    <t>ΑΙ200633</t>
  </si>
  <si>
    <t>ΓΙΑΓΚΟΥΛΑ</t>
  </si>
  <si>
    <t>ΑΓΑΘΗ</t>
  </si>
  <si>
    <t>ΑΖ886475</t>
  </si>
  <si>
    <t>ΑΝ780601</t>
  </si>
  <si>
    <t>ΑΗ104355</t>
  </si>
  <si>
    <t>ΚΟΥΤΣΙΟΥΜΠΑ</t>
  </si>
  <si>
    <t>ΑΝ856081</t>
  </si>
  <si>
    <t>ΧΑΛΙΛΗ</t>
  </si>
  <si>
    <t>ΑΟ368479</t>
  </si>
  <si>
    <t>ΑΒ832425</t>
  </si>
  <si>
    <t>ΑΚ 272300</t>
  </si>
  <si>
    <t>ΑΓΓΕΛΑΙΝΑ</t>
  </si>
  <si>
    <t>Π840405</t>
  </si>
  <si>
    <t>ΛΟΥΙΖΟΥ</t>
  </si>
  <si>
    <t>Ρ183000</t>
  </si>
  <si>
    <t>ΑΖ650442</t>
  </si>
  <si>
    <t>ΒΑΛΗΛΗ</t>
  </si>
  <si>
    <t>ΧΡΥΣΣΑ</t>
  </si>
  <si>
    <t>ΑΗ927176</t>
  </si>
  <si>
    <t>ΚΟΝΟΜΗ</t>
  </si>
  <si>
    <t>ΚΡΙΣ</t>
  </si>
  <si>
    <t>ΣΤΕΦΑΝ</t>
  </si>
  <si>
    <t>ΑΝ106081</t>
  </si>
  <si>
    <t>ΛΙΝΤΖΕΡΗ</t>
  </si>
  <si>
    <t>ΑΖ393305</t>
  </si>
  <si>
    <t>ΜΠΑΡΜΠΕΡΗ</t>
  </si>
  <si>
    <t>ΟΛΥΜΠΙΑ</t>
  </si>
  <si>
    <t>ΑΙ846858</t>
  </si>
  <si>
    <t>ΜΠΑΞΕΒΑΝΙΔΟΥ</t>
  </si>
  <si>
    <t>ΘΕΟΔΟΣΙΟΣ</t>
  </si>
  <si>
    <t>ΑΕ424888</t>
  </si>
  <si>
    <t>ΠΑΠΑΔΗΜΟΥ</t>
  </si>
  <si>
    <t>ΑΙ836108</t>
  </si>
  <si>
    <t>ΦΟΥΣΑΡΟΥ ΜΑΛΑΜΗ</t>
  </si>
  <si>
    <t>ΑΗ703663</t>
  </si>
  <si>
    <t>ΞΩΞΑΚΟΥ</t>
  </si>
  <si>
    <t>ΑΗ117708</t>
  </si>
  <si>
    <t>ΚΕΡΜΑΝΙΔΟΥ</t>
  </si>
  <si>
    <t>ΑΖ550211</t>
  </si>
  <si>
    <t>ΤΣΙΚΝΑΚΗ</t>
  </si>
  <si>
    <t>ΑΜ955902</t>
  </si>
  <si>
    <t>ΝΤΑΦΟΥ ΒΑΙΟΥΛΗ</t>
  </si>
  <si>
    <t xml:space="preserve">ΜΑΡΙΑ ΘΩΜΑΗ </t>
  </si>
  <si>
    <t>ΜΩΥΣΙΑΔΗΣ</t>
  </si>
  <si>
    <t>ΣΑΒΒΑΣ</t>
  </si>
  <si>
    <t>ΑΗ391494</t>
  </si>
  <si>
    <t>ΝΙΚΟΛΑΙΔΟΥ</t>
  </si>
  <si>
    <t>ΑΖ031572</t>
  </si>
  <si>
    <t>ΜΑΚΡΗ</t>
  </si>
  <si>
    <t>ΑΘΗΝΑ ΠΑΡΑΣΚΕΥΗ</t>
  </si>
  <si>
    <t>Φ096291</t>
  </si>
  <si>
    <t>ΜΙΧΑΛΙΑΣΛΗ</t>
  </si>
  <si>
    <t>ΑΒ608865</t>
  </si>
  <si>
    <t>ΠΑΡΑΦΕΛΑ</t>
  </si>
  <si>
    <t>ΑΕ862350</t>
  </si>
  <si>
    <t>Τ985644</t>
  </si>
  <si>
    <t>ΤΟΠΑΛΙΔΟΥ</t>
  </si>
  <si>
    <t>ΑΚΡΙΤΑΣ</t>
  </si>
  <si>
    <t>ΑΚ434286</t>
  </si>
  <si>
    <t>ΓΚΟΥΣΑΡΗ</t>
  </si>
  <si>
    <t>ΘΕΟΦΑΝΗ</t>
  </si>
  <si>
    <t>Χ489038</t>
  </si>
  <si>
    <t>ΑΝΔΡΕΟΓΛΟΥ</t>
  </si>
  <si>
    <t>ΑΗ378658</t>
  </si>
  <si>
    <t>ΑΤΜΑΤΖΟΓΛΟΥ</t>
  </si>
  <si>
    <t>ΑΘΗΝΟΥΛΑ</t>
  </si>
  <si>
    <t>Ξ699177</t>
  </si>
  <si>
    <t>ΖΑΡΚΑΔΟΥΛΑ</t>
  </si>
  <si>
    <t>Χ778507</t>
  </si>
  <si>
    <t>ΓΑΛΕΡΑΚΗ</t>
  </si>
  <si>
    <t>ΑΙ458346</t>
  </si>
  <si>
    <t>ΝΕΡΑΝΤΖΗ</t>
  </si>
  <si>
    <t>ΑΕ433354</t>
  </si>
  <si>
    <t>ΜΠΕΚΙΑΡΗ</t>
  </si>
  <si>
    <t>Χ750021</t>
  </si>
  <si>
    <t>ΠΑΛΕΓΚΑ</t>
  </si>
  <si>
    <t>ΑΟ900661</t>
  </si>
  <si>
    <t>ΚΥΠΡΑΙΟΥ</t>
  </si>
  <si>
    <t>ΑΒ297501</t>
  </si>
  <si>
    <t>ΤΕΡΖΙΔΟΥ</t>
  </si>
  <si>
    <t>ΑΚ256226</t>
  </si>
  <si>
    <t>ΝΤΟΥΛΕ</t>
  </si>
  <si>
    <t>ΑΙ254544</t>
  </si>
  <si>
    <t>ΔΗΜΗΤΡΙΟΥ</t>
  </si>
  <si>
    <t>ΤΡΥΦΩΝ</t>
  </si>
  <si>
    <t>ΑΗ290279</t>
  </si>
  <si>
    <t>ΠΕΤΑΛΙΔΟΥ</t>
  </si>
  <si>
    <t>ΑΖ804553</t>
  </si>
  <si>
    <t>ΜΑΤΑΚΟΥ</t>
  </si>
  <si>
    <t>ΑΙ187392</t>
  </si>
  <si>
    <t>Σ351952</t>
  </si>
  <si>
    <t>ΜΠΡΑΝΤΙΤΣΑ</t>
  </si>
  <si>
    <t>ΑΒ270275</t>
  </si>
  <si>
    <t>ΓΡΗΓΟΡΟΠΟΥΛΟΥ</t>
  </si>
  <si>
    <t>ΒΑΡΒΑΡΑ</t>
  </si>
  <si>
    <t>Ξ205978</t>
  </si>
  <si>
    <t>ΤΖΑΝΕΤΟΥ</t>
  </si>
  <si>
    <t>ΑΕ737911</t>
  </si>
  <si>
    <t>ΣΤΕΙΑΚΑΚΗ</t>
  </si>
  <si>
    <t>ΧΑΡΙΔΗΜΟΣ</t>
  </si>
  <si>
    <t>ΑΖ961536</t>
  </si>
  <si>
    <t>ΚΛΑΟΥΡΑΚΗ</t>
  </si>
  <si>
    <t>ΑΒ481198</t>
  </si>
  <si>
    <t>ΝΙΤΣΑ</t>
  </si>
  <si>
    <t>ΧΡΗΣΤΟΣ ΔΡΟΣΟΣ</t>
  </si>
  <si>
    <t>ΑΒ548010</t>
  </si>
  <si>
    <t>ΠΛΟΥΜΙΔΟΥ</t>
  </si>
  <si>
    <t>ΑΡ432811</t>
  </si>
  <si>
    <t>ΠΕΠΠΑ</t>
  </si>
  <si>
    <t>Σ796579</t>
  </si>
  <si>
    <t>ΓΙΑΚΟΥΜΑΤΟΥ</t>
  </si>
  <si>
    <t>ΠΑΝΑΓΗΣ</t>
  </si>
  <si>
    <t>ΑΙ511491</t>
  </si>
  <si>
    <t>ΑΝ826767</t>
  </si>
  <si>
    <t>ΜΠΑΓΙΑΤΛΑΚΗ</t>
  </si>
  <si>
    <t>ΞΑΝΘΗ</t>
  </si>
  <si>
    <t>ΑΕ152149</t>
  </si>
  <si>
    <t>ΜΗΤΣΙΟΥ</t>
  </si>
  <si>
    <t>ΚΑΛΛΙΝΩ</t>
  </si>
  <si>
    <t>ΑΖ297377</t>
  </si>
  <si>
    <t>ΚΟΒΕΡΗ</t>
  </si>
  <si>
    <t>ΑΙ636086</t>
  </si>
  <si>
    <t>ΙΩΑΝΝΟΥ</t>
  </si>
  <si>
    <t>ΑΟ395082</t>
  </si>
  <si>
    <t>ΚΟΡΑΚΑ</t>
  </si>
  <si>
    <t>Χ455352</t>
  </si>
  <si>
    <t>ΦΟΡΤΣΑ</t>
  </si>
  <si>
    <t>ΑΜ101430</t>
  </si>
  <si>
    <t>ΑΒ725670</t>
  </si>
  <si>
    <t>ΚΑΤΣΑΡΑ</t>
  </si>
  <si>
    <t>ΑΖ589371</t>
  </si>
  <si>
    <t>ΣΑΒΒΙΔΟΥ</t>
  </si>
  <si>
    <t>Χ244829</t>
  </si>
  <si>
    <t>ΜΠΡΕΝΤΑ</t>
  </si>
  <si>
    <t>Σ454978</t>
  </si>
  <si>
    <t>ΣΤΙΝΗ</t>
  </si>
  <si>
    <t>ΑΕ946880</t>
  </si>
  <si>
    <t>ΒΛΑΖΑΚΗ</t>
  </si>
  <si>
    <t>ΑΖ018788</t>
  </si>
  <si>
    <t>ΣΦΕΛΗΝΙΩΤΗ</t>
  </si>
  <si>
    <t>ΑΡΙΣΤΑΡΧΟΣ</t>
  </si>
  <si>
    <t>Π866839</t>
  </si>
  <si>
    <t>ΦΡΑΓΚΟΥ</t>
  </si>
  <si>
    <t>ΑΖ146771</t>
  </si>
  <si>
    <t>ΤΣΟΒΙΛΗ</t>
  </si>
  <si>
    <t>ΑΝ652945</t>
  </si>
  <si>
    <t>ΠΑΡΣΑΝΟΥ</t>
  </si>
  <si>
    <t>ΑΚ501989</t>
  </si>
  <si>
    <t>ΓΕΩΡΓΙΑΔΟΥ</t>
  </si>
  <si>
    <t>ΑΚ300869</t>
  </si>
  <si>
    <t>ΒΟΡΝΙΩΤΑΚΗ</t>
  </si>
  <si>
    <t>Χ352496</t>
  </si>
  <si>
    <t>ΠΙΤΣΕΡΗ</t>
  </si>
  <si>
    <t>ΑΗ221371</t>
  </si>
  <si>
    <t>ΚΑΤΣΑΝΟΥ</t>
  </si>
  <si>
    <t>Π851110</t>
  </si>
  <si>
    <t xml:space="preserve">ΦΑΣΟΥΛΑ </t>
  </si>
  <si>
    <t xml:space="preserve">ΕΙΡΗΝΗ </t>
  </si>
  <si>
    <t>ΑΒ961558</t>
  </si>
  <si>
    <t>ΣΤΟΥΜΠΟΥ</t>
  </si>
  <si>
    <t>ΑΜ323857</t>
  </si>
  <si>
    <t>ΚΑΡΑΜΙΧΑ</t>
  </si>
  <si>
    <t>ΑΙ851509</t>
  </si>
  <si>
    <t>ΜΟΔΙΑΝΑΚΗΣ</t>
  </si>
  <si>
    <t>ΑΚ664445</t>
  </si>
  <si>
    <t>ΠΑΠΑΝΤΩΝΑΚΗ</t>
  </si>
  <si>
    <t>ΑΟ976330</t>
  </si>
  <si>
    <t>ΜΠΑΚΑΛΗ</t>
  </si>
  <si>
    <t>Χ891493</t>
  </si>
  <si>
    <t>ΔΡΟΣΟΠΑΝΑΓΙΩΤΗ</t>
  </si>
  <si>
    <t>ΜΑΡΙΑ ΑΝΝΑ</t>
  </si>
  <si>
    <t>ΑΜ273694</t>
  </si>
  <si>
    <t>ΚΟΚΚΙΝΟΥ</t>
  </si>
  <si>
    <t>ΑΒ141198</t>
  </si>
  <si>
    <t>ΠΑΠΑΣΤΡΑΤΑΚΗ</t>
  </si>
  <si>
    <t>ΑΕ399320</t>
  </si>
  <si>
    <t>Σ806449</t>
  </si>
  <si>
    <t>ΜΑΡΙΑΝΝΑ</t>
  </si>
  <si>
    <t>ΑΗ214883</t>
  </si>
  <si>
    <t>ΑΔΑΜΙΔΟΥ</t>
  </si>
  <si>
    <t>ΑΚ320838</t>
  </si>
  <si>
    <t>ΚΟΥΚΟΥ</t>
  </si>
  <si>
    <t>ΑΝ204697</t>
  </si>
  <si>
    <t>ΟΥΡΑΝΟΥ</t>
  </si>
  <si>
    <t>Χ851078</t>
  </si>
  <si>
    <t>ΝΙΚΗΦΟΡΙΔΟΥ</t>
  </si>
  <si>
    <t>ΑΕ689810</t>
  </si>
  <si>
    <t>ΓΙΑΚΟΥΜΑΚΗ</t>
  </si>
  <si>
    <t>Φ345511</t>
  </si>
  <si>
    <t>ΔΑΝΙΚΑ</t>
  </si>
  <si>
    <t>ΑΑ359019</t>
  </si>
  <si>
    <t>ΑΠΟΣΤΟΛΑΚΟΠΟΥΛΟΥ</t>
  </si>
  <si>
    <t>ΑΒ422088</t>
  </si>
  <si>
    <t>ΓΑΛΑΤΣΙΔΑ</t>
  </si>
  <si>
    <t>ΑΗ763723</t>
  </si>
  <si>
    <t>ΑΗ790238</t>
  </si>
  <si>
    <t>ΜΟΤΑΚΗ</t>
  </si>
  <si>
    <t>ΑΛΕΞΑΝΔΡΑ ΑΡΤΕΜΗΣΙΑ</t>
  </si>
  <si>
    <t>Χ494003</t>
  </si>
  <si>
    <t>ΠΑΠΑΓΙΑΝΝΑΚΗ</t>
  </si>
  <si>
    <t>ΑΙ148053</t>
  </si>
  <si>
    <t>ΝΤΕΛΗ</t>
  </si>
  <si>
    <t>ΑΟ355507</t>
  </si>
  <si>
    <t>ΒΑΡΝΑΒΑ</t>
  </si>
  <si>
    <t>ΑΙΚΑΤ</t>
  </si>
  <si>
    <t>Τ118270</t>
  </si>
  <si>
    <t>Ξ582977</t>
  </si>
  <si>
    <t>ΝΑΖΑΙ</t>
  </si>
  <si>
    <t>ΕΝΙΝΤΑ</t>
  </si>
  <si>
    <t>ΖΑΧΟ</t>
  </si>
  <si>
    <t>ΑΝ334111</t>
  </si>
  <si>
    <t>ΚΕΦΑΛΑ</t>
  </si>
  <si>
    <t>ΝΙΚΟΛΕΤΤΑ</t>
  </si>
  <si>
    <t>ΑΡ095936</t>
  </si>
  <si>
    <t>ΒΑΡΣΑΜΗ</t>
  </si>
  <si>
    <t>Χ318512</t>
  </si>
  <si>
    <t>GRECU</t>
  </si>
  <si>
    <t>MIOARA</t>
  </si>
  <si>
    <t>CONSTANTIN</t>
  </si>
  <si>
    <t>ΚΟΝΙΑΡΗ</t>
  </si>
  <si>
    <t>Ρ395883</t>
  </si>
  <si>
    <t>ΚΑΡΑΓΕΩΡΓΙΟΥ</t>
  </si>
  <si>
    <t>ΑΗ875897</t>
  </si>
  <si>
    <t>ΜΑΥΡΑΓΑΝΗ</t>
  </si>
  <si>
    <t>Ξ999390</t>
  </si>
  <si>
    <t>ΠΑΝΑΓΙΩΤΙΔΟΥ</t>
  </si>
  <si>
    <t>ΑΗ579501</t>
  </si>
  <si>
    <t>ΧΡΗΣΤΙΔΟΥ</t>
  </si>
  <si>
    <t>ΑΖ849620</t>
  </si>
  <si>
    <t>ΧΡΗΣΤΟΥ</t>
  </si>
  <si>
    <t>ΑΚ985658</t>
  </si>
  <si>
    <t>ΚΑΤΣΙΑΔΑ</t>
  </si>
  <si>
    <t>ΑΚ357810</t>
  </si>
  <si>
    <t>ΑΜΟΙΡΙΔΟΥ</t>
  </si>
  <si>
    <t>ΣΕΒΑΣΤΗ</t>
  </si>
  <si>
    <t>Χ078238</t>
  </si>
  <si>
    <t>ΡΟΥΣΝΤΙ</t>
  </si>
  <si>
    <t>ΜΑΓΚΝΤΙ</t>
  </si>
  <si>
    <t>ΑΑ004075</t>
  </si>
  <si>
    <t>ΠΑΠΑΜΙΧΑΛΑΚΗ</t>
  </si>
  <si>
    <t>Τ046845</t>
  </si>
  <si>
    <t>ΤΣΑΓΚΑΡΑΚΗ</t>
  </si>
  <si>
    <t>ΝΕΣΤΟΡΑΣ</t>
  </si>
  <si>
    <t>ΑΕ391443</t>
  </si>
  <si>
    <t>ΤΡΑΚΕΛΛΗ</t>
  </si>
  <si>
    <t>ΑΑ439004</t>
  </si>
  <si>
    <t>ΜΑΡΙΑ ΧΡΙΣΤΙΝΑ</t>
  </si>
  <si>
    <t>ΑΕ810897</t>
  </si>
  <si>
    <t>ΔΙΚΑΡΟΥ</t>
  </si>
  <si>
    <t>ΑΖ535560</t>
  </si>
  <si>
    <t>ΓΛΕΖΟΥ</t>
  </si>
  <si>
    <t>ΑΑ013724</t>
  </si>
  <si>
    <t>ΔΡΑΚΟΥΛΑΚΟΥ</t>
  </si>
  <si>
    <t>ΑΙ802309</t>
  </si>
  <si>
    <t>ΣΤΑΘΟΠΟΥΛΟΥ</t>
  </si>
  <si>
    <t>Π323809</t>
  </si>
  <si>
    <t>ΜΗΤΩΝΑ</t>
  </si>
  <si>
    <t>ΑΗ968575</t>
  </si>
  <si>
    <t>ΜΗΛΙΩΝΗ</t>
  </si>
  <si>
    <t>ΑΙ060481</t>
  </si>
  <si>
    <t>ΑΝΑΓΝΩΣΤΟΠΟΥΛΟΥ</t>
  </si>
  <si>
    <t>ΒΙΚΤΩΡΙΑ</t>
  </si>
  <si>
    <t>Χ717133</t>
  </si>
  <si>
    <t>Χ238240</t>
  </si>
  <si>
    <t>ΜΑΚΡΑΚΗ</t>
  </si>
  <si>
    <t>ΜΑΡΙΑ ΣΤΕΛΛΑ</t>
  </si>
  <si>
    <t>ΙΟΡΔΑΝΗΣ</t>
  </si>
  <si>
    <t>ΑΗ850985</t>
  </si>
  <si>
    <t>ΔΑΡΔΟΥΜΠΑ</t>
  </si>
  <si>
    <t>ΑΚ901369</t>
  </si>
  <si>
    <t>ΠΑΠΑΖΟΓΛΟΥ</t>
  </si>
  <si>
    <t>ΑΝ840017</t>
  </si>
  <si>
    <t>ΘΕΟΔΟΣΗΣ</t>
  </si>
  <si>
    <t>ΑΖ704138</t>
  </si>
  <si>
    <t>ΚΟΥΡΠΑΝΙΔΗ</t>
  </si>
  <si>
    <t>ΑΗ594521</t>
  </si>
  <si>
    <t>ΔΟΝΤΑ</t>
  </si>
  <si>
    <t>Σ469172</t>
  </si>
  <si>
    <t>ΜΑΡΙΝΟΠΟΥΛΟΥ</t>
  </si>
  <si>
    <t>Χ283961</t>
  </si>
  <si>
    <t>ΣΤΑΜΠΟΥΛΟΓΛΟΥ</t>
  </si>
  <si>
    <t>ΑΜ387403</t>
  </si>
  <si>
    <t>ΚΥΡΙΑΚΑΚΗ</t>
  </si>
  <si>
    <t>ΑΒ182922</t>
  </si>
  <si>
    <t>ΧΑΡΔΑΒΕΛΑ</t>
  </si>
  <si>
    <t>ΑΚ259377</t>
  </si>
  <si>
    <t>ΤΣΑΚΙΡΗ</t>
  </si>
  <si>
    <t>ΑΖ650394</t>
  </si>
  <si>
    <t>ΖΑΧΑΡΗ</t>
  </si>
  <si>
    <t>ΑΗ770896</t>
  </si>
  <si>
    <t>ΜΠΑΡΙΤΑΚΗ</t>
  </si>
  <si>
    <t>ΑΙ105183</t>
  </si>
  <si>
    <t>ΚΟΚΟΛΙΟΥ</t>
  </si>
  <si>
    <t>ΑΚ982811</t>
  </si>
  <si>
    <t>ΚΑΠΟΥ</t>
  </si>
  <si>
    <t>ΑΕ072106</t>
  </si>
  <si>
    <t>ΚΟΥΚΟΥΛΟΥ</t>
  </si>
  <si>
    <t>ΑΗ325731</t>
  </si>
  <si>
    <t>ΚΑΤΕΜΟΓΛΟΥ</t>
  </si>
  <si>
    <t>ΑΝ389880</t>
  </si>
  <si>
    <t>ΣΠΑΝΟΥΔΑΚΗ</t>
  </si>
  <si>
    <t>ΑΖ734313</t>
  </si>
  <si>
    <t>ΡΟΥΣΣΗ</t>
  </si>
  <si>
    <t>ΣΟΥΣΑΝΑ</t>
  </si>
  <si>
    <t>ΑΖ091138</t>
  </si>
  <si>
    <t>ΚΑΛΤΡΕΜΤΖΗ</t>
  </si>
  <si>
    <t>ΑΕ831041</t>
  </si>
  <si>
    <t>ΣΤΑΥΡΑΚΗ</t>
  </si>
  <si>
    <t>ΑΗ792169</t>
  </si>
  <si>
    <t>ΤΡΙΑΝΤΑΦΥΛΛΙΔΟΥ</t>
  </si>
  <si>
    <t>ΑΖ924615</t>
  </si>
  <si>
    <t xml:space="preserve">ΛΑΠΠΑ </t>
  </si>
  <si>
    <t xml:space="preserve">ΕΡΑΣΜΙΑ </t>
  </si>
  <si>
    <t>ΑΖ537793</t>
  </si>
  <si>
    <t>ΑΜ770000</t>
  </si>
  <si>
    <t>ΓΙΑΝΝΕΝΑ</t>
  </si>
  <si>
    <t>ΑΙ431353</t>
  </si>
  <si>
    <t>ΛΑΝΤΖΟΥ</t>
  </si>
  <si>
    <t>ΑΓΛΑIA</t>
  </si>
  <si>
    <t>ΑΖ782738</t>
  </si>
  <si>
    <t>ΑΚ879926</t>
  </si>
  <si>
    <t>ΦΟΥΡΤΑΚΑ</t>
  </si>
  <si>
    <t>ΑΒ991553</t>
  </si>
  <si>
    <t>ΣΤΑΝΙΤΣΑ</t>
  </si>
  <si>
    <t>ΑΝΕΣΤΗΣ</t>
  </si>
  <si>
    <t>ΑΟ150707</t>
  </si>
  <si>
    <t>ΜΠΟΥΚΟΥΜΑΝΗ</t>
  </si>
  <si>
    <t>ΕΥΔΟΞΙΑ</t>
  </si>
  <si>
    <t>ΑΒ409019</t>
  </si>
  <si>
    <t>ΓΙΟΚΑΡΗ</t>
  </si>
  <si>
    <t>ΞΕΝΟΦΩΝ</t>
  </si>
  <si>
    <t>Χ128654</t>
  </si>
  <si>
    <t>ΚΑΛΛΕΡΓΗ</t>
  </si>
  <si>
    <t>ΑΓΛΑΙΑ</t>
  </si>
  <si>
    <t>ΑΚ482730</t>
  </si>
  <si>
    <t>ΚΟΚΑΚΗ</t>
  </si>
  <si>
    <t>ΑΡ290322</t>
  </si>
  <si>
    <t>ΖΑΝΔΕ</t>
  </si>
  <si>
    <t>ΑΝΝΑ ΦΡΑΤΖΕΣΚΑ</t>
  </si>
  <si>
    <t>ΑΟ430697</t>
  </si>
  <si>
    <t>ΑΓΓΕΛΟΠΟΥΛΟΥ</t>
  </si>
  <si>
    <t>ΑΛΙΚΗ ΜΥΡΤΩ</t>
  </si>
  <si>
    <t>Π004558</t>
  </si>
  <si>
    <t>ΠΡΟΚΟΥ</t>
  </si>
  <si>
    <t>ΑΝ678796</t>
  </si>
  <si>
    <t>ΣΑΡΑΚΑΤΣΙΑΝΟΥ</t>
  </si>
  <si>
    <t>ΑΜ364843</t>
  </si>
  <si>
    <t>ΧΑΛΑΤΣΗ</t>
  </si>
  <si>
    <t>Χ316118</t>
  </si>
  <si>
    <t>ΥΦΑΝΤΗ</t>
  </si>
  <si>
    <t>Χ485474</t>
  </si>
  <si>
    <t>ΜΑΡΟΥΣΗ</t>
  </si>
  <si>
    <t>ΑΖ886793</t>
  </si>
  <si>
    <t>ΝΙΚΟΛΑΚΑΚΗ</t>
  </si>
  <si>
    <t>ΑΒ488243</t>
  </si>
  <si>
    <t>ΚΑΠΝΙΣΤΗ</t>
  </si>
  <si>
    <t>ΑΖ728072</t>
  </si>
  <si>
    <t>ΡΕΒΕΛΟΥ</t>
  </si>
  <si>
    <t>Χ334324</t>
  </si>
  <si>
    <t>ΝΙΓΔΕΛΙΔΟΥ</t>
  </si>
  <si>
    <t>ΑΖ873984</t>
  </si>
  <si>
    <t>ΔΙΑΜΑΝΤΙΔΟΥ</t>
  </si>
  <si>
    <t>ΑΡ235171</t>
  </si>
  <si>
    <t>ΑΛΕΞΙΑΔΟΥ</t>
  </si>
  <si>
    <t>ΑΚ298740</t>
  </si>
  <si>
    <t>ΡΕΚΚΑ</t>
  </si>
  <si>
    <t>ΑΗ691932</t>
  </si>
  <si>
    <t>ΜΑΝΙΚΑ</t>
  </si>
  <si>
    <t>Χ290519</t>
  </si>
  <si>
    <t>ΣΟΥΜΠΑΣΗ</t>
  </si>
  <si>
    <t>ΑΗ220609</t>
  </si>
  <si>
    <t>ΠΑΣΣΙΑ</t>
  </si>
  <si>
    <t>ΗΡΑΚΛΗΣ</t>
  </si>
  <si>
    <t>ΑΒ317980</t>
  </si>
  <si>
    <t>ΑΖ323125</t>
  </si>
  <si>
    <t>ΚΑΡΑΓΙΩΡΓΗ</t>
  </si>
  <si>
    <t>Χ598435</t>
  </si>
  <si>
    <t>ΠΑΝΟΠΟΥΛΟΥ</t>
  </si>
  <si>
    <t>ΑΑ448489</t>
  </si>
  <si>
    <t>ΚΙΟΥΡΤΣΗ</t>
  </si>
  <si>
    <t>ΑΒ073140</t>
  </si>
  <si>
    <t>ΓΚΟΥΓΚΟΥΛΙΑ</t>
  </si>
  <si>
    <t>Χ913145</t>
  </si>
  <si>
    <t>ΛΥΚΟΘΑΝΑΣΗ</t>
  </si>
  <si>
    <t>ΔΗΜΗΤΡΙΟ</t>
  </si>
  <si>
    <t>Τ279195</t>
  </si>
  <si>
    <t>ΤΕΛΙΟΥ</t>
  </si>
  <si>
    <t>ΑΝ345820</t>
  </si>
  <si>
    <t>ΧΕΡΙΣΤΑΝΙΔΟΥ</t>
  </si>
  <si>
    <t>ΑΜ682786</t>
  </si>
  <si>
    <t>ΒΟΣΙΝΑΚΗ</t>
  </si>
  <si>
    <t>Π933142</t>
  </si>
  <si>
    <t>ΓΙΑΝΝΟΥΛΑ</t>
  </si>
  <si>
    <t>Χ866360</t>
  </si>
  <si>
    <t>ΑΛΕΞΑΝΔΡΑΤΟΥ</t>
  </si>
  <si>
    <t>ΑΗ701469</t>
  </si>
  <si>
    <t>ΜΠΟΡΑ</t>
  </si>
  <si>
    <t>ΑΙ065679</t>
  </si>
  <si>
    <t>ΔΗΜΟΤΣΙΟΥ</t>
  </si>
  <si>
    <t>ΑΖ883821</t>
  </si>
  <si>
    <t>ΝΤΑΛΑΓΙΑΝΝΗ</t>
  </si>
  <si>
    <t>Ξ872703</t>
  </si>
  <si>
    <t>ΜΑΝΤΖΙΑΡΗ</t>
  </si>
  <si>
    <t>ΑΜ849311</t>
  </si>
  <si>
    <t>ΙΠΠΙΩΤΗ</t>
  </si>
  <si>
    <t>ΤΑΞΙΑΡΧΟΥΛΑ</t>
  </si>
  <si>
    <t>ΑΙ653423</t>
  </si>
  <si>
    <t>ΦΑΚΑ</t>
  </si>
  <si>
    <t>ΑΑ427954</t>
  </si>
  <si>
    <t>ΚΟΥΚΟΥΡΑΚΗ</t>
  </si>
  <si>
    <t>ΧΑΡΑ</t>
  </si>
  <si>
    <t>ΑΙ111577</t>
  </si>
  <si>
    <t>ΓΙΑΝΝΑΚΟΥ</t>
  </si>
  <si>
    <t>ΑΝ958025</t>
  </si>
  <si>
    <t>ΜΑΝΟΥΣΟΥ</t>
  </si>
  <si>
    <t>Φ033217</t>
  </si>
  <si>
    <t>ROTARU</t>
  </si>
  <si>
    <t>ANDREI</t>
  </si>
  <si>
    <t>ROBERTH</t>
  </si>
  <si>
    <t>ΚΟΥΡΟΥΝΗ</t>
  </si>
  <si>
    <t>ΑΝ710000</t>
  </si>
  <si>
    <t>ΑΕ484418</t>
  </si>
  <si>
    <t>ΚΑΚΟΛΥΡΗ</t>
  </si>
  <si>
    <t>ΕΥΑΓΓΕΛΙΑ ΑΜΑΛΙΑ</t>
  </si>
  <si>
    <t>ΑΗ206172</t>
  </si>
  <si>
    <t>ΜΥΛΩΝΑ</t>
  </si>
  <si>
    <t>ΑΙ896763</t>
  </si>
  <si>
    <t>ΧΟΙΛΟΥ</t>
  </si>
  <si>
    <t>Φ177577</t>
  </si>
  <si>
    <t>ΦΛΩΡΟΥ</t>
  </si>
  <si>
    <t>ΑΑ851086</t>
  </si>
  <si>
    <t>Χ522114</t>
  </si>
  <si>
    <t>ΓΚΑΝΑ</t>
  </si>
  <si>
    <t>ΑΙ231624</t>
  </si>
  <si>
    <t>ΔΗΜΗΤΡΟΥΛΑΚΗ</t>
  </si>
  <si>
    <t>Ρ005245</t>
  </si>
  <si>
    <t>ΤΣΙΜΟΥΡΤΟΥ</t>
  </si>
  <si>
    <t>ΑΟ374028</t>
  </si>
  <si>
    <t>ΤΕΓΟΥ</t>
  </si>
  <si>
    <t>ΑΟ763547</t>
  </si>
  <si>
    <t>ΑΖ681733</t>
  </si>
  <si>
    <t>ΣΤΑΜΟΥ</t>
  </si>
  <si>
    <t>ΟΡΣΑΛΙΑ</t>
  </si>
  <si>
    <t>ΑΕ486045</t>
  </si>
  <si>
    <t>ΒΕΝΕΤΣΑΝΗ</t>
  </si>
  <si>
    <t>ΧΡΥΣΑΝΝΑ</t>
  </si>
  <si>
    <t>ΕΣΤΑΘΙΟΣ</t>
  </si>
  <si>
    <t>ΑΖ997079</t>
  </si>
  <si>
    <t>ΑΣΗΜΕΝΙΑ</t>
  </si>
  <si>
    <t>ΑΜ862892</t>
  </si>
  <si>
    <t>ΒΑΣΣΗ</t>
  </si>
  <si>
    <t>ΑΕ556136</t>
  </si>
  <si>
    <t>ΠΑΡΑΣΧΗ</t>
  </si>
  <si>
    <t>Μ558133</t>
  </si>
  <si>
    <t>ΓΚΟΒΟΠΟΥΛΟΥ</t>
  </si>
  <si>
    <t>ΑΙ534917</t>
  </si>
  <si>
    <t>ΒΑΡΔΑΡΟΥ</t>
  </si>
  <si>
    <t>Χ527910</t>
  </si>
  <si>
    <t>ΝΕΡΑΝΤΖΙΑ</t>
  </si>
  <si>
    <t>ΠΛΟΥΤΑΡΧΟΣ</t>
  </si>
  <si>
    <t>Χ965134</t>
  </si>
  <si>
    <t>ΤΩΜΑΔΑΚΗ</t>
  </si>
  <si>
    <t>ΑΜ481931</t>
  </si>
  <si>
    <t>ΜΠΑΤΑΔΑΚΗ</t>
  </si>
  <si>
    <t>ΑΙ 151221</t>
  </si>
  <si>
    <t>ΤΖΙΑΜΠΑΖΗ</t>
  </si>
  <si>
    <t>ΑΟ909476</t>
  </si>
  <si>
    <t>ΑΦΕΝΤΑΚΗ</t>
  </si>
  <si>
    <t>ΑΗ040479</t>
  </si>
  <si>
    <t>ΣΠΥΡΟΠΟΥΛΟΥ</t>
  </si>
  <si>
    <t>ΑΗ149583</t>
  </si>
  <si>
    <t>ΑΙ349893</t>
  </si>
  <si>
    <t>ΑΙ839153</t>
  </si>
  <si>
    <t>ΑΜ407856</t>
  </si>
  <si>
    <t>ΑΓΙΑΣΣΩΤΕΛΛΗ</t>
  </si>
  <si>
    <t>ΕΥΡΙΔΙΚΗ</t>
  </si>
  <si>
    <t>ΑΝ029475</t>
  </si>
  <si>
    <t>ΔΟΥΡΟΥ</t>
  </si>
  <si>
    <t>ΑΗ763489</t>
  </si>
  <si>
    <t>ΓΚΟΥΝΤΟΥΡΑ</t>
  </si>
  <si>
    <t>ΑΚ966971</t>
  </si>
  <si>
    <t>ΓΑΛΑΝΟΥ</t>
  </si>
  <si>
    <t>ΑΕ440430</t>
  </si>
  <si>
    <t>ΚΑΠΕΡΩΝΗ</t>
  </si>
  <si>
    <t>ΑΗ032838</t>
  </si>
  <si>
    <t>ΑΓΓΕΛΟΓΛΟΥ</t>
  </si>
  <si>
    <t>ΑΑ226230</t>
  </si>
  <si>
    <t>ΓΟΒΑ</t>
  </si>
  <si>
    <t>ΑΗ034586</t>
  </si>
  <si>
    <t>ΑΗ009259</t>
  </si>
  <si>
    <t>ΕΡΜΙΔΟΥ</t>
  </si>
  <si>
    <t>ΑΒ063137</t>
  </si>
  <si>
    <t>ΚΟΛΤΣΙΔΑ</t>
  </si>
  <si>
    <t>ΑΝ324744</t>
  </si>
  <si>
    <t>ΕΡΜΙΟΝΗ</t>
  </si>
  <si>
    <t>Χ087720</t>
  </si>
  <si>
    <t>ΣΚΟΥΤΑΡΙΩΤΗ</t>
  </si>
  <si>
    <t>ΑΖ559138</t>
  </si>
  <si>
    <t>ΠΑΠΟΥΛΙΔΟΥ</t>
  </si>
  <si>
    <t>ΑΒ 350633</t>
  </si>
  <si>
    <t>ΛΑΔΑ</t>
  </si>
  <si>
    <t>Π844370</t>
  </si>
  <si>
    <t>ΤΣΑΠΕΚΟΥ</t>
  </si>
  <si>
    <t>ΔΗΜΟΚΡΑΤΗΣ</t>
  </si>
  <si>
    <t>ΑΗ167039</t>
  </si>
  <si>
    <t>ΣΠΑΘΑΡΑ</t>
  </si>
  <si>
    <t>ΑΖ785452</t>
  </si>
  <si>
    <t>ΓΛΗΓΟΡΗ</t>
  </si>
  <si>
    <t>ΑΚ962732</t>
  </si>
  <si>
    <t>ΜΑΡΙΑΝΑ</t>
  </si>
  <si>
    <t>ΑΚ732678</t>
  </si>
  <si>
    <t>ΚΑΛΟΓΡΑΙΑΚΗ</t>
  </si>
  <si>
    <t>ΑΙ908008</t>
  </si>
  <si>
    <t>ΑΚ956655</t>
  </si>
  <si>
    <t>ΚΑΣΤΑΝΑ</t>
  </si>
  <si>
    <t>ΑΙ113454</t>
  </si>
  <si>
    <t>ΜΕΡΕΝΙΔΟΥ</t>
  </si>
  <si>
    <t>ΜΑΡΘΑ</t>
  </si>
  <si>
    <t>ΚΛΕΑΝΘΗΣ</t>
  </si>
  <si>
    <t>ΑΙ156748</t>
  </si>
  <si>
    <t>ΡΙΤΣΟΥ</t>
  </si>
  <si>
    <t>ΑΗ580999</t>
  </si>
  <si>
    <t>ΧΑΤΖΗΛΑΖΑΡΟΥ</t>
  </si>
  <si>
    <t>ΑΝ954679</t>
  </si>
  <si>
    <t>ΚΑΡΑΦΕΛΙΑΝ</t>
  </si>
  <si>
    <t>ΜΑΡΙΑΜ</t>
  </si>
  <si>
    <t>ΑΡΣΑΚ</t>
  </si>
  <si>
    <t>ΑΡ216777</t>
  </si>
  <si>
    <t>ΣΠΑΝΟΥ</t>
  </si>
  <si>
    <t>ΑΚ115086</t>
  </si>
  <si>
    <t>ΠΑΛΙΟΥΔΑΚΗ</t>
  </si>
  <si>
    <t>ΙΦΙΓΕΝΕΙΑ</t>
  </si>
  <si>
    <t>Φ351692</t>
  </si>
  <si>
    <t>ΜΕΞΑ</t>
  </si>
  <si>
    <t>ΑΓΓΕΛΙΚΗ ΔΗΜΗΤΡΑ</t>
  </si>
  <si>
    <t>ΑΗ755858</t>
  </si>
  <si>
    <t>ΠΑΝΤΕΛΙΑ</t>
  </si>
  <si>
    <t>ΣΑΡΑΝΤΗΣ</t>
  </si>
  <si>
    <t>ΑΒ015998</t>
  </si>
  <si>
    <t>Χ040856</t>
  </si>
  <si>
    <t>ΑΜΠΑΤΖΙΔΗΣ</t>
  </si>
  <si>
    <t>ΑΝ355709</t>
  </si>
  <si>
    <t>ΤΣΑΜΠΟΥΡΗ</t>
  </si>
  <si>
    <t>Χ894246</t>
  </si>
  <si>
    <t>ΔΙΔΑΣΚΑΛΟΥ</t>
  </si>
  <si>
    <t>ΑΜ567885</t>
  </si>
  <si>
    <t>ΧΗΤΟΥ</t>
  </si>
  <si>
    <t>ΑΖ747992</t>
  </si>
  <si>
    <t>ΔΑΓΔΕΛΕΝΙΔΟΥ</t>
  </si>
  <si>
    <t>Π546496</t>
  </si>
  <si>
    <t>ΤΟΣΟΥΝΙΔΟΥ</t>
  </si>
  <si>
    <t>ΑΡ273630</t>
  </si>
  <si>
    <t>ΑΚ210477</t>
  </si>
  <si>
    <t>ΦΟΥΝΤΟΥΛΑΚΗ</t>
  </si>
  <si>
    <t>ΑΝΤΩΝΙΑ ΑΡΓΥΡΩ</t>
  </si>
  <si>
    <t>ΑΙ473131</t>
  </si>
  <si>
    <t>ΚΑΡΑΓΚΟΥΝΗ</t>
  </si>
  <si>
    <t>ΑΑ440677</t>
  </si>
  <si>
    <t>ΠΑΧΑΤΟΥΡΙΔΟΥ</t>
  </si>
  <si>
    <t>ΑΚ007295</t>
  </si>
  <si>
    <t>ΓΙΑΝΝΟΠΟΥΛΟΥ</t>
  </si>
  <si>
    <t>ΣΟΦΙΑ ΕΙΡΗΝΗ</t>
  </si>
  <si>
    <t>ΑΜ972516</t>
  </si>
  <si>
    <t>ΚΑΤΑΠΟΔΗ</t>
  </si>
  <si>
    <t>ΑΛΕΞΑΝΔΡΑ ΒΑΣΙΛΙΚΗ</t>
  </si>
  <si>
    <t>ΑΙ011795</t>
  </si>
  <si>
    <t>ΠΡΕΜΕΤΗ</t>
  </si>
  <si>
    <t>ΑΟ 163064</t>
  </si>
  <si>
    <t>ΤΑΞΕΙΔΗΣ</t>
  </si>
  <si>
    <t>ΑΖ929379</t>
  </si>
  <si>
    <t>ΒΑΡΔΑΚΑ</t>
  </si>
  <si>
    <t>ΒΗΣΣΑΡΙΑ</t>
  </si>
  <si>
    <t>ΑΙ840226</t>
  </si>
  <si>
    <t>ΟΡΦΑΝΟΥ</t>
  </si>
  <si>
    <t>ΑΚ049402</t>
  </si>
  <si>
    <t>ΜΠΡΕΤΑ</t>
  </si>
  <si>
    <t>ΑΟ352645</t>
  </si>
  <si>
    <t>ΔΕΜΕΡΤΖΙΔΟΥ</t>
  </si>
  <si>
    <t>ΑΒ437363</t>
  </si>
  <si>
    <t>ΚΟΡΟΛΗ</t>
  </si>
  <si>
    <t>Π118317</t>
  </si>
  <si>
    <t>ΣΦΥΡΙΔΗ</t>
  </si>
  <si>
    <t>ΑΖ593491</t>
  </si>
  <si>
    <t xml:space="preserve">ΔΡΕΜΙΣΙΩΤΟΥ </t>
  </si>
  <si>
    <t>ΑΖ359546</t>
  </si>
  <si>
    <t>ΤΣΑΜΗ</t>
  </si>
  <si>
    <t>Ρ776466</t>
  </si>
  <si>
    <t>ΜΠΙΤΣΑΝΗ</t>
  </si>
  <si>
    <t>ΔΗΜΗΤΡΑ ΕΙΡΗΝΗ</t>
  </si>
  <si>
    <t>Χ958195</t>
  </si>
  <si>
    <t>ΔΑΡΑΚΗ</t>
  </si>
  <si>
    <t>ΑΖ390647</t>
  </si>
  <si>
    <t>ΤΕΡΗ</t>
  </si>
  <si>
    <t>ΑΖ040250</t>
  </si>
  <si>
    <t>ΧΑΡΑΛΑΜΠΙΔΟΥ</t>
  </si>
  <si>
    <t>ΑΗ689957</t>
  </si>
  <si>
    <t>ΚΑΡΑΤΑΓΛΗ</t>
  </si>
  <si>
    <t>ΑΜ653111</t>
  </si>
  <si>
    <t>ΒΟΥΒΟΠΟΥΛΟΥ</t>
  </si>
  <si>
    <t>Π843062</t>
  </si>
  <si>
    <t>ΠΑΠΟΥΤΣΟΓΛΟΥ</t>
  </si>
  <si>
    <t>ΑΚ122949</t>
  </si>
  <si>
    <t>ΚΑΡΑΜΙΝΤΖΙΟΥ</t>
  </si>
  <si>
    <t>Χ759996</t>
  </si>
  <si>
    <t>ΦΛΩΡΕΝΤΙΑ ΦΛΩΡΑ</t>
  </si>
  <si>
    <t>Χ145881</t>
  </si>
  <si>
    <t>ΒΕΝΕΤΣΑΝΟΥ</t>
  </si>
  <si>
    <t>ΑΑ023570</t>
  </si>
  <si>
    <t>ΜΠΟΥΛΗ</t>
  </si>
  <si>
    <t>ΠΑΝΑΓΟΥΛΑ</t>
  </si>
  <si>
    <t>ΑΚ124797</t>
  </si>
  <si>
    <t>ΒΥΤΙΝΙΩΤΗ</t>
  </si>
  <si>
    <t>ΑΒ009676</t>
  </si>
  <si>
    <t>ΚΑΛΠΑΚΙΔΟΥ</t>
  </si>
  <si>
    <t>ΑΒ456094</t>
  </si>
  <si>
    <t>ΛΑΜΠΑΚΗ</t>
  </si>
  <si>
    <t>ΑΝ931882</t>
  </si>
  <si>
    <t>ΝΤΟΥΡΑΚΗ</t>
  </si>
  <si>
    <t>ΑΕ978659</t>
  </si>
  <si>
    <t>ΖΗΣΙΔΟΥ</t>
  </si>
  <si>
    <t>ΑΚ320135</t>
  </si>
  <si>
    <t>ΚΟΥΡΤΙΔΟΥ</t>
  </si>
  <si>
    <t>ΕΥΡΙΠΙΔΗΣ</t>
  </si>
  <si>
    <t>ΑΗ912569</t>
  </si>
  <si>
    <t>ΣΤΑΥΡΟΠΟΥΛΟΥ</t>
  </si>
  <si>
    <t>ΑΝ213708</t>
  </si>
  <si>
    <t>ΚΑΛΙΩΡΑ</t>
  </si>
  <si>
    <t>ΑΙ999380</t>
  </si>
  <si>
    <t>ΜΑΣΣΑΛΗ</t>
  </si>
  <si>
    <t>ΑΚ042465</t>
  </si>
  <si>
    <t>ΚΑΡΒΕΛΑ</t>
  </si>
  <si>
    <t>Σ397288</t>
  </si>
  <si>
    <t>ΡΟΔΙΑ</t>
  </si>
  <si>
    <t>ΑΕ331354</t>
  </si>
  <si>
    <t>ΕΥΘΥΜΙΟΥ</t>
  </si>
  <si>
    <t>ΑΝ683152</t>
  </si>
  <si>
    <t>ΚΑΝΑΚΗ</t>
  </si>
  <si>
    <t>Α0468312</t>
  </si>
  <si>
    <t>ΒΛΑΧΟΔΗΜΟΥ</t>
  </si>
  <si>
    <t>ΑΜ850571</t>
  </si>
  <si>
    <t>Ρ250813</t>
  </si>
  <si>
    <t>ΓΙΑΚΟΥΜΕΛΟΥ</t>
  </si>
  <si>
    <t>ΑΕ788631</t>
  </si>
  <si>
    <t>ΚΩΤΟΥΛΑ</t>
  </si>
  <si>
    <t>ΑΡΓΥΡΟΥΛΑ</t>
  </si>
  <si>
    <t>ΑΜ842374</t>
  </si>
  <si>
    <t>ΝΤΩΝΙΑ</t>
  </si>
  <si>
    <t>MAΡΙΑ</t>
  </si>
  <si>
    <t>ΜΟΣΧΟΣ</t>
  </si>
  <si>
    <t>ΔΑΛΑΜΠΕΚΗ</t>
  </si>
  <si>
    <t>Φ094589</t>
  </si>
  <si>
    <t>ΠΑΠΑΘΑΝΑΣΗ</t>
  </si>
  <si>
    <t>EYTYXIA</t>
  </si>
  <si>
    <t>ΑΙ227183</t>
  </si>
  <si>
    <t>ΜΗΤΡΟΠΟΥΛΟΥ</t>
  </si>
  <si>
    <t>ΑΗ295515</t>
  </si>
  <si>
    <t>ΧΑΛΙΛΟΠΟΥΛΟΥ</t>
  </si>
  <si>
    <t>ΑΒ415104</t>
  </si>
  <si>
    <t>ΣΤΥΛΙΑΝΟΥ</t>
  </si>
  <si>
    <t>Χ406297</t>
  </si>
  <si>
    <t>ΚΟΥΤΛΟΓΛΟΥ</t>
  </si>
  <si>
    <t>Π501915</t>
  </si>
  <si>
    <t>ΚΑΝΑΚΗΣ</t>
  </si>
  <si>
    <t>Ρ496907</t>
  </si>
  <si>
    <t>ΝΙΤΤΗ</t>
  </si>
  <si>
    <t>ΑΒ996192</t>
  </si>
  <si>
    <t>ΔΙΑΚΟΥΜΑΚΟΥ</t>
  </si>
  <si>
    <t>Π546864</t>
  </si>
  <si>
    <t>Χ535034</t>
  </si>
  <si>
    <t>ΓΙΩΡΓΑΚΗ</t>
  </si>
  <si>
    <t>ΑΖ953480</t>
  </si>
  <si>
    <t>ΚΑΡΑΜΕΡΗ</t>
  </si>
  <si>
    <t>ΑΡΤΕΜΙΣ</t>
  </si>
  <si>
    <t>ΑΕ722070</t>
  </si>
  <si>
    <t>ΦΙΛΕΛΕ ΠΑΠΑΔΟΠΟΥΛΟΥ</t>
  </si>
  <si>
    <t>Χ716725</t>
  </si>
  <si>
    <t>ΘΕΜΕΛΗ</t>
  </si>
  <si>
    <t>ΑΗ409962</t>
  </si>
  <si>
    <t>ΡΟΥΜΕΛΗ</t>
  </si>
  <si>
    <t>ΒΑΣΙΛΕΙΑ</t>
  </si>
  <si>
    <t>ΕΥΣΤΑΘΙΟ</t>
  </si>
  <si>
    <t>Ρ323592</t>
  </si>
  <si>
    <t>ΧΑΣΙΟΥΡΑ</t>
  </si>
  <si>
    <t>ΑΚ439708</t>
  </si>
  <si>
    <t>ΣΤΑΥΡΟΥΛΑΚΗ</t>
  </si>
  <si>
    <t>ΑΖ470471</t>
  </si>
  <si>
    <t>ΚΟΚΟΛΑ</t>
  </si>
  <si>
    <t>ΑΝ694329</t>
  </si>
  <si>
    <t>ΛΑΜΠΡΑΚΗ</t>
  </si>
  <si>
    <t>ΑΝ634442</t>
  </si>
  <si>
    <t>ΑΝΔΡΙΤΣΟΠΟΥΛΟΥ</t>
  </si>
  <si>
    <t>Π663575</t>
  </si>
  <si>
    <t>ΤΣΙΑΡΑ</t>
  </si>
  <si>
    <t>ΑΖ692807</t>
  </si>
  <si>
    <t>ΠΟΣΙΝΑΚΙΔΟΥ</t>
  </si>
  <si>
    <t>ΑΑ412085</t>
  </si>
  <si>
    <t>ΠΑΝΑΓΙΟΥ</t>
  </si>
  <si>
    <t>ΑΟ356169</t>
  </si>
  <si>
    <t>ΑΣΗΜΑΚΗ</t>
  </si>
  <si>
    <t>ΑΖ222520</t>
  </si>
  <si>
    <t>ΜΙΝΑ</t>
  </si>
  <si>
    <t>ΦΑΜΠΙΟΛΑ</t>
  </si>
  <si>
    <t>ΝΙΚΟ</t>
  </si>
  <si>
    <t>ΑΝ052194</t>
  </si>
  <si>
    <t>ΑΝΔΡΕΑΔΟΥ</t>
  </si>
  <si>
    <t>ΑΗ990912</t>
  </si>
  <si>
    <t>ΣΚΟΥΦΑ</t>
  </si>
  <si>
    <t>ΑΗ177748</t>
  </si>
  <si>
    <t>ΑΞΙΩΤΗ</t>
  </si>
  <si>
    <t>Χ498133</t>
  </si>
  <si>
    <t>ΠΑΝΤΑ</t>
  </si>
  <si>
    <t>ΑΝ567564</t>
  </si>
  <si>
    <t>ΚΑΡΧΑΡΙΔΟΥ</t>
  </si>
  <si>
    <t>ΑΚ302262</t>
  </si>
  <si>
    <t>ΜΠΕΤΤΑ</t>
  </si>
  <si>
    <t>ΓΚΟΛΦΩ</t>
  </si>
  <si>
    <t>ΑΒ191663</t>
  </si>
  <si>
    <t>ΚΟΥΣΤΑ ΒΛΑΧΟΥ</t>
  </si>
  <si>
    <t>Χ657926</t>
  </si>
  <si>
    <t>ΚΙΟΥΛΤΖΙΔΟΥ</t>
  </si>
  <si>
    <t>ΑΕ654401</t>
  </si>
  <si>
    <t>ΝΙΚΑΚΗ</t>
  </si>
  <si>
    <t>ΜΑΡΙΑ ΕΥΘΑΛΙΑ</t>
  </si>
  <si>
    <t>ΑΟ517657</t>
  </si>
  <si>
    <t>ΜΑΡΙΑ ΚΟΡΙΝΑ</t>
  </si>
  <si>
    <t>ΑΑ040843</t>
  </si>
  <si>
    <t>ΒΑΛΙΑΚΑ</t>
  </si>
  <si>
    <t>ΑΖ792040</t>
  </si>
  <si>
    <t>ΒΑΓΓΕΛΗ</t>
  </si>
  <si>
    <t>ΑΒ813037</t>
  </si>
  <si>
    <t>ΚΑΛΤΣΑ</t>
  </si>
  <si>
    <t>ΑΜ754269</t>
  </si>
  <si>
    <t>ΝΤΑΝΗ</t>
  </si>
  <si>
    <t>Χ198239</t>
  </si>
  <si>
    <t>Π335940</t>
  </si>
  <si>
    <t>ΣΑΟΥΛΗ</t>
  </si>
  <si>
    <t>ΦΩΤΑΓΓΕΛΟΣ</t>
  </si>
  <si>
    <t>ΑΒ070826</t>
  </si>
  <si>
    <t>ΜΑΓΚΑΦΑ</t>
  </si>
  <si>
    <t>ΑΕ717099</t>
  </si>
  <si>
    <t>ΜΠΕΚΟΥ</t>
  </si>
  <si>
    <t>ΑΒ319929</t>
  </si>
  <si>
    <t>ΚΟΥΡΟΥΒΑΣΙΛΗ</t>
  </si>
  <si>
    <t>ΑΗ124586</t>
  </si>
  <si>
    <t>ΕΥΚΟΛΙΔΟΥ</t>
  </si>
  <si>
    <t>ΑΗ291382</t>
  </si>
  <si>
    <t xml:space="preserve">ΣΤΥΛΙΑΝΗ </t>
  </si>
  <si>
    <t xml:space="preserve">ΚΩΝΣΤΑΝΤΙΝΟΣ </t>
  </si>
  <si>
    <t>ΑΜ453928</t>
  </si>
  <si>
    <t>ΚΥΡΙΑΚΟΠΟΥΛΟΥ</t>
  </si>
  <si>
    <t>ΑΒ751628</t>
  </si>
  <si>
    <t>ΜΑΤΣΑ</t>
  </si>
  <si>
    <t>Χ752662</t>
  </si>
  <si>
    <t>ΛΙΟΥΔΑΚΗΣ</t>
  </si>
  <si>
    <t>Φ294403</t>
  </si>
  <si>
    <t>ΤΣΑΝΑΚΛΙΔΟΥ</t>
  </si>
  <si>
    <t>ΡΑΦΑΕΛΑ</t>
  </si>
  <si>
    <t>ΑΕ830372</t>
  </si>
  <si>
    <t>ΖΑΧΟΥ</t>
  </si>
  <si>
    <t>ΚΟΣΜΑΣ</t>
  </si>
  <si>
    <t>ΑΖ142533</t>
  </si>
  <si>
    <t>ΡΙΒΑ</t>
  </si>
  <si>
    <t>ΑΖ795813</t>
  </si>
  <si>
    <t>ΑΛΒΑΝΟΥ</t>
  </si>
  <si>
    <t>ΑΝ355621</t>
  </si>
  <si>
    <t>Χ776041</t>
  </si>
  <si>
    <t>ΜΗΛΙΟΥ</t>
  </si>
  <si>
    <t>ΑΕ499482</t>
  </si>
  <si>
    <t>ΘΕΟΥ</t>
  </si>
  <si>
    <t>ΑΚ845779</t>
  </si>
  <si>
    <t>ΑΙ949507</t>
  </si>
  <si>
    <t>ΠΥΡΓΙΩΤΑΚΗ</t>
  </si>
  <si>
    <t>Τ952646</t>
  </si>
  <si>
    <t>ΧΑΡΙΖΑΝΗ</t>
  </si>
  <si>
    <t>ΑΑ337700</t>
  </si>
  <si>
    <t>ΚΑΛΑΝΤΖΗ</t>
  </si>
  <si>
    <t>Π851127</t>
  </si>
  <si>
    <t>ΑΚ933160</t>
  </si>
  <si>
    <t>ΒΑΤΟΥ</t>
  </si>
  <si>
    <t>ΑΟ598274</t>
  </si>
  <si>
    <t>ΑΦΗΣΙΑΔΟΥ</t>
  </si>
  <si>
    <t>ΑΙ394920</t>
  </si>
  <si>
    <t>ΚΟΥΡΓΙΑ</t>
  </si>
  <si>
    <t>ΟΔΥΣΣΕΥΣ</t>
  </si>
  <si>
    <t>ΑΝ592169</t>
  </si>
  <si>
    <t>Χ487254</t>
  </si>
  <si>
    <t>ΣΙΜΑ</t>
  </si>
  <si>
    <t>ΑΖ253714</t>
  </si>
  <si>
    <t>ΔΗΜΑ</t>
  </si>
  <si>
    <t>ΑΕ292032</t>
  </si>
  <si>
    <t>ΓΕΩΡΓΟΥΔΗ</t>
  </si>
  <si>
    <t>Χ717459</t>
  </si>
  <si>
    <t>ΜΟΥΣΙΟΥ</t>
  </si>
  <si>
    <t>ΔΩΡΟΘΕΑ</t>
  </si>
  <si>
    <t>ΑΗ268467</t>
  </si>
  <si>
    <t>Χ274317</t>
  </si>
  <si>
    <t>ΑΕ133434</t>
  </si>
  <si>
    <t>ΜΑΜΟΥΡΑ</t>
  </si>
  <si>
    <t>ΔΙΑΜΑΝΤΟΥΛΑ</t>
  </si>
  <si>
    <t>ΑΙ856460</t>
  </si>
  <si>
    <t>ΚΟΥΚΑ</t>
  </si>
  <si>
    <t>ΑΕ699029</t>
  </si>
  <si>
    <t>ΓΙΑΝΤΑΜΙΔΟΥ</t>
  </si>
  <si>
    <t>ΑΙ128294</t>
  </si>
  <si>
    <t>ΜΕΝΚΣΙ</t>
  </si>
  <si>
    <t>ΒΙΟΛΕΤΤΑ</t>
  </si>
  <si>
    <t>ΓΙΑΝΝΙ</t>
  </si>
  <si>
    <t>ΑΟ912109</t>
  </si>
  <si>
    <t>ΤΣΟΝΟΠΟΥΛΟΥ</t>
  </si>
  <si>
    <t>Ρ523772</t>
  </si>
  <si>
    <t>ΚΡΑΣΟΠΟΥΛΟΥ</t>
  </si>
  <si>
    <t>ΚΑΣΙΑΝΗ</t>
  </si>
  <si>
    <t>ΑΕ929557</t>
  </si>
  <si>
    <t>ΣΚΑΦΙΔΑΣ</t>
  </si>
  <si>
    <t>Φ086958</t>
  </si>
  <si>
    <t>ΜΠΟΝΤΟΛΟΥ</t>
  </si>
  <si>
    <t>ΑΖ285546</t>
  </si>
  <si>
    <t>ΦΙΛΤΖΙΑΝΗ</t>
  </si>
  <si>
    <t>ΑΜ715322</t>
  </si>
  <si>
    <t>ΓΚΕΣΟΥΛΗ</t>
  </si>
  <si>
    <t>ΑΕ279999</t>
  </si>
  <si>
    <t>ΔΡΑΙΝΑ</t>
  </si>
  <si>
    <t>ΑΒ276227</t>
  </si>
  <si>
    <t>ΚΑΡΑΤΑΣΙΟΥ</t>
  </si>
  <si>
    <t>ΑΖ763206</t>
  </si>
  <si>
    <t>ΓΙΑΝΝΑΚΗΣ</t>
  </si>
  <si>
    <t>ΑΕ543284</t>
  </si>
  <si>
    <t>ΦΑΡΜΑΚΗ</t>
  </si>
  <si>
    <t>ΓΑΡΟΥΦΑΛΙΑ</t>
  </si>
  <si>
    <t>ΑΡ342432</t>
  </si>
  <si>
    <t>ΠΑΠΑΛΑΝΗ</t>
  </si>
  <si>
    <t>ΒΑΣΙΛΙΚΗ ΜΑΡΙΑ</t>
  </si>
  <si>
    <t>Χ418526</t>
  </si>
  <si>
    <t>ΜΠΟΥΓΛΟΥ</t>
  </si>
  <si>
    <t>ΑΖ634393</t>
  </si>
  <si>
    <t>ΠΛΙΑΚΑ</t>
  </si>
  <si>
    <t>ΑΙ290999</t>
  </si>
  <si>
    <t>ΠΥΡΕΤΖΗ</t>
  </si>
  <si>
    <t>ΑΟ408032</t>
  </si>
  <si>
    <t>ΜΑΡΟΥΛΑΚΗ</t>
  </si>
  <si>
    <t>ΑΜ952959</t>
  </si>
  <si>
    <t>ΝΑΟΥΜ</t>
  </si>
  <si>
    <t>ΑΖ368416</t>
  </si>
  <si>
    <t>ΑΝΘΟΠΟΥΛΟΥ</t>
  </si>
  <si>
    <t>ΑΜ665455</t>
  </si>
  <si>
    <t>ΒΕΛΩΝΗ</t>
  </si>
  <si>
    <t>ΑΗ019505</t>
  </si>
  <si>
    <t>ΜΠΑΛΗ</t>
  </si>
  <si>
    <t>ΑΕ979945</t>
  </si>
  <si>
    <t>ΑΝΑΝΙΑ</t>
  </si>
  <si>
    <t>Σ048561</t>
  </si>
  <si>
    <t>ΙΤΣΚΟΥ</t>
  </si>
  <si>
    <t>ΑΕ818248</t>
  </si>
  <si>
    <t>ΒΑΣΚΟΥ</t>
  </si>
  <si>
    <t>Φ174066</t>
  </si>
  <si>
    <t>ΚΑΝΙΑΜΟΥ</t>
  </si>
  <si>
    <t>ΤΑΞΙΑΡΧΗΣ</t>
  </si>
  <si>
    <t>ΑΒ237320</t>
  </si>
  <si>
    <t>ΜΑΝΟΥΣΑΚΗ</t>
  </si>
  <si>
    <t>ΕΜΑΝΟΥΗΛ</t>
  </si>
  <si>
    <t>ΑΒ961773</t>
  </si>
  <si>
    <t>ΕΥΑΓΓΕΛΙΝΑΚΗ</t>
  </si>
  <si>
    <t>Σ420044</t>
  </si>
  <si>
    <t>ΜΑΝΩΛΑΡΟΥ</t>
  </si>
  <si>
    <t>Μ904419</t>
  </si>
  <si>
    <t>ΘΑΝΟΥ</t>
  </si>
  <si>
    <t>ΑΜ375057</t>
  </si>
  <si>
    <t>ΜΠΑΚΑΛΙΔΟΥ</t>
  </si>
  <si>
    <t xml:space="preserve">ΕΙΡΉΝΗ </t>
  </si>
  <si>
    <t>ΑΑ869754</t>
  </si>
  <si>
    <t>ΘΕΟΔΟΣΙΟΥ</t>
  </si>
  <si>
    <t>ΑΖ610060</t>
  </si>
  <si>
    <t>ΓΑΤΗ</t>
  </si>
  <si>
    <t>ΑΜ005804</t>
  </si>
  <si>
    <t>ΑΝ753354</t>
  </si>
  <si>
    <t>ΤΣΑΛΟΥΡΗ</t>
  </si>
  <si>
    <t>ΑΙ857033</t>
  </si>
  <si>
    <t>ΒΟΙΒΟΝΤΑ</t>
  </si>
  <si>
    <t>ΣΟΛΩΝ</t>
  </si>
  <si>
    <t>ΓΡΟΜΠΑΝΟΠΟΥΛΟΥ</t>
  </si>
  <si>
    <t>ΑΒ439930</t>
  </si>
  <si>
    <t>ΚΑΡΑΠΑΝΟΥ</t>
  </si>
  <si>
    <t>ΜΑΡΙΑ ΜΑΝΘΑ</t>
  </si>
  <si>
    <t>ΑΜ790892</t>
  </si>
  <si>
    <t>ΜΑΡΚΟΠΟΥΛΟΥ</t>
  </si>
  <si>
    <t>ΑΙ871872</t>
  </si>
  <si>
    <t>ΑΠΑΖΙΔΟΥ</t>
  </si>
  <si>
    <t>ΑΗ293914</t>
  </si>
  <si>
    <t>ΚΟΠΤΕΡΟΠΟΥΛΟΥ</t>
  </si>
  <si>
    <t>ΑΕ167769</t>
  </si>
  <si>
    <t>ΜΠΑΡΟΥΝΗ</t>
  </si>
  <si>
    <t>ΑΡΙΣΤΟΜΕΝΗΣ</t>
  </si>
  <si>
    <t>ΑΟ989745</t>
  </si>
  <si>
    <t>ΣΠΑΝΟΠΟΥΛΟΥ</t>
  </si>
  <si>
    <t>ΑΝ590989</t>
  </si>
  <si>
    <t>ΕΥΣΤΡΑΤΙΑ</t>
  </si>
  <si>
    <t>ΑΕ438590</t>
  </si>
  <si>
    <t>ΜΠΙΝΗ</t>
  </si>
  <si>
    <t>ΜΑΡΙΑ ΣΤΥΛΙΑΝΗ</t>
  </si>
  <si>
    <t>ΑΜ110394</t>
  </si>
  <si>
    <t>ΚΟΥΤΡΟΥΜΠΗ</t>
  </si>
  <si>
    <t>ΒΑΣΙΛ</t>
  </si>
  <si>
    <t>ΑΕ747908</t>
  </si>
  <si>
    <t>ΜΟΥΤΑΦΙΔΟΥ</t>
  </si>
  <si>
    <t>ΑΥΓΗ</t>
  </si>
  <si>
    <t>Τ448794</t>
  </si>
  <si>
    <t>ΠΑΡΟΥΣΗ</t>
  </si>
  <si>
    <t>Τ465880</t>
  </si>
  <si>
    <t>ΣΤΑΜΑΤΑΚΙ</t>
  </si>
  <si>
    <t>ΔΙΑΜΑΝΤΑ</t>
  </si>
  <si>
    <t>ΑΝΑΣΤΑΣΙΟΣ ΣΩΤΗΡΙΟΣ</t>
  </si>
  <si>
    <t>ΑΕ468809</t>
  </si>
  <si>
    <t>ΜΟΥΡΑΤΗ</t>
  </si>
  <si>
    <t>ΑΜ364701</t>
  </si>
  <si>
    <t>ΚΟΥΒΕΛΗ</t>
  </si>
  <si>
    <t>Χ234542</t>
  </si>
  <si>
    <t>ΚΙΤΣΩΝΗ</t>
  </si>
  <si>
    <t>Σ877534</t>
  </si>
  <si>
    <t>ΑΓΙΑΝΝΙΔΟΥ</t>
  </si>
  <si>
    <t>ΜΑΛΒΙΝΑ ΚΛΗΜΕΝΤΙΝΗ</t>
  </si>
  <si>
    <t>ΑΖ679860</t>
  </si>
  <si>
    <t>ΤΣΙΟΥΜΑΡΑ</t>
  </si>
  <si>
    <t>ΑΙ872776</t>
  </si>
  <si>
    <t>ΚΑΚΑΛΗ</t>
  </si>
  <si>
    <t xml:space="preserve">ΧΡΙΣΤΊΝΑ </t>
  </si>
  <si>
    <t>ΑΙ562091</t>
  </si>
  <si>
    <t>ΜΕΛΙΣΣΟΠΟΥΛΟΥ</t>
  </si>
  <si>
    <t>ΑΝ214025</t>
  </si>
  <si>
    <t>ΞΕΝΟΥ</t>
  </si>
  <si>
    <t>ΑΒ831109</t>
  </si>
  <si>
    <t>ΤΣΙΝΤΑΡΗ ΤΣΑΜΠΑΖΟΓΛΟΥ</t>
  </si>
  <si>
    <t>ΙΩΑΚΕΙΜ</t>
  </si>
  <si>
    <t>ΑΝ656505</t>
  </si>
  <si>
    <t>ΜΑΝΔΑΝΗ</t>
  </si>
  <si>
    <t>ΑΟ339106</t>
  </si>
  <si>
    <t>ΚΑΤΡΙΤΖΙΔΑΚΗ</t>
  </si>
  <si>
    <t>ΑΟ572761</t>
  </si>
  <si>
    <t>ΒΕΛΙΚΗ</t>
  </si>
  <si>
    <t>ΑΙ721404</t>
  </si>
  <si>
    <t>ΠΑΠΑΓΕΩΡΓΙΟΥ</t>
  </si>
  <si>
    <t>ΑΙΚΑΤΕΡΙΝΗ ΡΑΦΑΗΛΙΑ</t>
  </si>
  <si>
    <t>Χ861349</t>
  </si>
  <si>
    <t>ΤΣΑΠΑΝΙΔΗ</t>
  </si>
  <si>
    <t>Χ283023</t>
  </si>
  <si>
    <t>ΚΑΡΑΜΟΥΖΑ</t>
  </si>
  <si>
    <t>ΑΚ424527</t>
  </si>
  <si>
    <t>Χ176803</t>
  </si>
  <si>
    <t>ΣΜΑΡΑΓΔΗ</t>
  </si>
  <si>
    <t>ΑΒ276342</t>
  </si>
  <si>
    <t>ΚΙΑΚΟΥ</t>
  </si>
  <si>
    <t>ΠΟΛΥΧΡΟΝΗΣ</t>
  </si>
  <si>
    <t>ΑΖ396939</t>
  </si>
  <si>
    <t>ΝΤΟΝΤΗ</t>
  </si>
  <si>
    <t>ΑΚ272496</t>
  </si>
  <si>
    <t>ΣΥΡΑΝΙΔΟΥ</t>
  </si>
  <si>
    <t xml:space="preserve">ΕΥΦΡΟΣΥΝΗ </t>
  </si>
  <si>
    <t>ΑΖ812252</t>
  </si>
  <si>
    <t>ΚΑΡΔΑΣΗ</t>
  </si>
  <si>
    <t xml:space="preserve">ΙΩΑΝΝΑ </t>
  </si>
  <si>
    <t>ΑΚ032240</t>
  </si>
  <si>
    <t>ΑΒ071228</t>
  </si>
  <si>
    <t>ΜΠΟΣΤΑ</t>
  </si>
  <si>
    <t>ΔΙΑΛΕΚΤΗ</t>
  </si>
  <si>
    <t>ΑΒ370629</t>
  </si>
  <si>
    <t>ΠΑΠΑΣΠΥΡΟΠΟΥΛΟΥ</t>
  </si>
  <si>
    <t>ΑΓΓΕΛΗΣ</t>
  </si>
  <si>
    <t>Χ301285</t>
  </si>
  <si>
    <t>ΣΠΥΡΑΤΟΥ</t>
  </si>
  <si>
    <t>ΠΕΤΡΟΠΑΥΛΟΣ</t>
  </si>
  <si>
    <t>Ρ043097</t>
  </si>
  <si>
    <t>ΣΑΡΑΚΑΤΣΑΝΟΥ</t>
  </si>
  <si>
    <t>ΑΜ297906</t>
  </si>
  <si>
    <t>ΜΩΥΣΙΔΟΥ</t>
  </si>
  <si>
    <t>Χ369214</t>
  </si>
  <si>
    <t>ΣΚΑΝΔΑΛΗ</t>
  </si>
  <si>
    <t>ΑΜ376267</t>
  </si>
  <si>
    <t>ΣΤΕΡΓΙΟΥ</t>
  </si>
  <si>
    <t>ΑΜ115885</t>
  </si>
  <si>
    <t>ΑΙ292795</t>
  </si>
  <si>
    <t>ΜΟΥΡΟΥΤΗ</t>
  </si>
  <si>
    <t>ΑΑ319369</t>
  </si>
  <si>
    <t>ΛΟΥΛΟΥΔΑΚΗ</t>
  </si>
  <si>
    <t>ΑΑ393282</t>
  </si>
  <si>
    <t>ΠΑΝΑΓΟΠΟΥΛΟΥ</t>
  </si>
  <si>
    <t>Τ083762</t>
  </si>
  <si>
    <t>ΠΑΛΛΑ</t>
  </si>
  <si>
    <t>ΑΜ632538</t>
  </si>
  <si>
    <t>ΝΤΑΚΟΥΛΑ</t>
  </si>
  <si>
    <t>ΑΒ282146</t>
  </si>
  <si>
    <t>ΣΓΟΥΡΑΛΗ</t>
  </si>
  <si>
    <t>ΕΥΑΓΓΕΛΗ</t>
  </si>
  <si>
    <t>ΑΖ589279</t>
  </si>
  <si>
    <t>ΚΑΡΑΒΑΝΑΚΗ</t>
  </si>
  <si>
    <t>ΜΑΡΙΝΑ ΕΛΕΝΗ</t>
  </si>
  <si>
    <t>ΑΟ048901</t>
  </si>
  <si>
    <t>ΠΗΞΑΡΑ</t>
  </si>
  <si>
    <t>ΦΙΛΙΤΣΑ</t>
  </si>
  <si>
    <t>ΝΕΣΤΩΡ</t>
  </si>
  <si>
    <t>ΑΗ377022</t>
  </si>
  <si>
    <t>ΑΜ838738</t>
  </si>
  <si>
    <t>ΠΡΟΣΙΛΗ</t>
  </si>
  <si>
    <t>ΑΒ796950</t>
  </si>
  <si>
    <t>ΛΕΠΙΤΚΑ</t>
  </si>
  <si>
    <t>ΑΜ408916</t>
  </si>
  <si>
    <t>ΝΙΚΟΛΙΤΣΑ</t>
  </si>
  <si>
    <t>ΑΟ304834</t>
  </si>
  <si>
    <t>Χ378161</t>
  </si>
  <si>
    <t>ΠΑΝΤΑΖΟΠΟΥΛΟΥ</t>
  </si>
  <si>
    <t>ΑΙ139065</t>
  </si>
  <si>
    <t>ΜΑΝΤΖΑΝΑ</t>
  </si>
  <si>
    <t>ΑΚ891232</t>
  </si>
  <si>
    <t>ΜΑΓΚΟΥΤΗ</t>
  </si>
  <si>
    <t>ΑΒ566064</t>
  </si>
  <si>
    <t>ΜΠΑΚΟΓΙΑΝΝΗ</t>
  </si>
  <si>
    <t>ΑΟ363261</t>
  </si>
  <si>
    <t>ΜΑΝΟΥ</t>
  </si>
  <si>
    <t>ΑΗ883517</t>
  </si>
  <si>
    <t>ΣΚΑΝΔΑΛΟΥ</t>
  </si>
  <si>
    <t>Χ779854</t>
  </si>
  <si>
    <t>ΤΕΛΛΑΚΗ</t>
  </si>
  <si>
    <t>ΑΗ388239</t>
  </si>
  <si>
    <t>ΔΙΑΓΟΥΠΗ</t>
  </si>
  <si>
    <t>Χ435063</t>
  </si>
  <si>
    <t>ΘΕΟΔΩΡΑΤΟΥ</t>
  </si>
  <si>
    <t>ΑΑ090708</t>
  </si>
  <si>
    <t>ΑΙ768942</t>
  </si>
  <si>
    <t>ΜΑΝΩΛΑΚΗ</t>
  </si>
  <si>
    <t>Ν989338</t>
  </si>
  <si>
    <t>ΔΕΜΕΣΤΙΧΑ</t>
  </si>
  <si>
    <t>ΑΒ344996</t>
  </si>
  <si>
    <t>ΛΥΔΙΑ ΕΥΑΓΓΕΛΙΑ</t>
  </si>
  <si>
    <t>ΑΗ022281</t>
  </si>
  <si>
    <t>ΛΑΓΩΝΙΚΑΚΗ</t>
  </si>
  <si>
    <t>ΒΑΣΙΛΙΚΗ ΤΡΙΑΝΤΑΦΥΛΛΙΑ</t>
  </si>
  <si>
    <t>ΑΜ156722</t>
  </si>
  <si>
    <t>ΓΙΑΒΡΗ</t>
  </si>
  <si>
    <t>ΠΑΝΟΣ</t>
  </si>
  <si>
    <t>ΑΚ047427</t>
  </si>
  <si>
    <t>ΚΑΙΤΑΤΖΗ</t>
  </si>
  <si>
    <t>ΑΕ765140</t>
  </si>
  <si>
    <t>ΚΟΥΡΑΜΠΑ</t>
  </si>
  <si>
    <t>ΑΝ085623</t>
  </si>
  <si>
    <t>ΣΚΛΑΒΟΛΙΑ</t>
  </si>
  <si>
    <t>Χ 005889</t>
  </si>
  <si>
    <t>ΚΟΜΜΑΤΑ</t>
  </si>
  <si>
    <t>Φ136874</t>
  </si>
  <si>
    <t>ΚΑΤΣΑΠΑΡΑ</t>
  </si>
  <si>
    <t>ΑΟ478024</t>
  </si>
  <si>
    <t>ΚΑΛΛΙΝΤΕΡΗ</t>
  </si>
  <si>
    <t>ΑΖ062718</t>
  </si>
  <si>
    <t>ΔΗΜΗΝΑ</t>
  </si>
  <si>
    <t>ΑΕ370511</t>
  </si>
  <si>
    <t>ΚΑΦΑΝΤΑΡΗ</t>
  </si>
  <si>
    <t>ΑΚ463564</t>
  </si>
  <si>
    <t>ΝΑΚΑ</t>
  </si>
  <si>
    <t xml:space="preserve"> ΜΑΡΙΑΝΘΗ</t>
  </si>
  <si>
    <t>ΑΟ138900</t>
  </si>
  <si>
    <t>ΑΕ331127</t>
  </si>
  <si>
    <t>ΣΤΟΥΡΑΙΤΗ</t>
  </si>
  <si>
    <t>Σ416341</t>
  </si>
  <si>
    <t>Ρ220052</t>
  </si>
  <si>
    <t>ΒΕΝΕΤΗ ΠΑΓΩΝΗ</t>
  </si>
  <si>
    <t>ΧΡΥΣΑ</t>
  </si>
  <si>
    <t>ΑΖ055229</t>
  </si>
  <si>
    <t>ΜΟΡΑΛΗ</t>
  </si>
  <si>
    <t>ΑΙ709439</t>
  </si>
  <si>
    <t xml:space="preserve">ΔΗΜΗΤΡΑ </t>
  </si>
  <si>
    <t xml:space="preserve">ΑΝΑΣΤΑΣΙΟΣ </t>
  </si>
  <si>
    <t>ΑΕ345723</t>
  </si>
  <si>
    <t>ΚΑΛΑΜΠΑΛΙΚΗ</t>
  </si>
  <si>
    <t>ΑΗ651770</t>
  </si>
  <si>
    <t>ΚΛΕΙΔΑ</t>
  </si>
  <si>
    <t>ΑΝ017846</t>
  </si>
  <si>
    <t>ΡΕΤΣΙΝΑ</t>
  </si>
  <si>
    <t>ΦΡΙΞΟΥΛΑ ΔΗΜΗΤΡΑ</t>
  </si>
  <si>
    <t>ΑΒ337317</t>
  </si>
  <si>
    <t>ΔΡΑΚΟΠΟΥΛΟΥ</t>
  </si>
  <si>
    <t>Σ378042</t>
  </si>
  <si>
    <t>ΚΥΡΙΤΣΗ</t>
  </si>
  <si>
    <t>ΑΝ084342</t>
  </si>
  <si>
    <t>ΣΑΡΡΙΔΟΥ</t>
  </si>
  <si>
    <t>ΚΥΡΙΛΛΟΣ</t>
  </si>
  <si>
    <t>ΑΕ891873</t>
  </si>
  <si>
    <t>ΚΑΣΩΤΑΚΗ</t>
  </si>
  <si>
    <t>ΣΩΣΣΑΝΑ</t>
  </si>
  <si>
    <t>ΝΙΚΗΤΑΣ</t>
  </si>
  <si>
    <t>ΑΕ617492</t>
  </si>
  <si>
    <t>ΤΟΥΣΗ</t>
  </si>
  <si>
    <t>ΑΗ249259</t>
  </si>
  <si>
    <t>BAMBAKA</t>
  </si>
  <si>
    <t>ANNA</t>
  </si>
  <si>
    <t>ΑΗ113487</t>
  </si>
  <si>
    <t>ΑΖ220170</t>
  </si>
  <si>
    <t>ΦΙΛΚΑ</t>
  </si>
  <si>
    <t>ΑΝ584701</t>
  </si>
  <si>
    <t>ΒΑΝΤΣΙΔΟΥ</t>
  </si>
  <si>
    <t>ΔΟΜΙΝΙΚΗ</t>
  </si>
  <si>
    <t>ΑΚ318137</t>
  </si>
  <si>
    <t>ΜΑΡΙΑΝΝΑ ΣΩΤΗΡΙΑ</t>
  </si>
  <si>
    <t>ΑΖ243143</t>
  </si>
  <si>
    <t>ΤΖΙΒΗ</t>
  </si>
  <si>
    <t>ΑΒ355454</t>
  </si>
  <si>
    <t>ΚΩΤΣΙΔΟΥ</t>
  </si>
  <si>
    <t>ΑΕ333308</t>
  </si>
  <si>
    <t>ΦΕΚΑ</t>
  </si>
  <si>
    <t>ΑΜ376618</t>
  </si>
  <si>
    <t>ΣΥΜΕΩΝ</t>
  </si>
  <si>
    <t>ΑΙ386897</t>
  </si>
  <si>
    <t>ΞΥΠΟΛΥΤΟΥ</t>
  </si>
  <si>
    <t>ΑΖ532406</t>
  </si>
  <si>
    <t>ΣΚΟΤΙΔΑ</t>
  </si>
  <si>
    <t>ΑΜ067151</t>
  </si>
  <si>
    <t>ΜΠΑΓΟΥΡΔΗ</t>
  </si>
  <si>
    <t>Π399460</t>
  </si>
  <si>
    <t>ΔΙΑΜΑΝΤΑΚΕΡΗ</t>
  </si>
  <si>
    <t>Χ298934</t>
  </si>
  <si>
    <t>ΣΩΤΗΡΧΟΠΟΥΛΟΥ</t>
  </si>
  <si>
    <t>ΑΛΕΞΙΟΣ</t>
  </si>
  <si>
    <t>Χ028039</t>
  </si>
  <si>
    <t>ΑΜΠΛΑ</t>
  </si>
  <si>
    <t>Χ775674</t>
  </si>
  <si>
    <t>ΠΛΑΚΑ</t>
  </si>
  <si>
    <t>ΑΡΓΥΡΙΟΣ</t>
  </si>
  <si>
    <t>Τ377267</t>
  </si>
  <si>
    <t>ΑΝΑΓΝΩΣΤΟΥ</t>
  </si>
  <si>
    <t xml:space="preserve">ΑΝΑΣΤΑΣΙΑ </t>
  </si>
  <si>
    <t>ΑΝ169897</t>
  </si>
  <si>
    <t>ΚΙΚΥΡΑ</t>
  </si>
  <si>
    <t>ΑΟ687325</t>
  </si>
  <si>
    <t>ΤΖΙΑΦΕΤΑ</t>
  </si>
  <si>
    <t>ΑΒ408602</t>
  </si>
  <si>
    <t>ΔΟΥΙΤΣΗ</t>
  </si>
  <si>
    <t>ΑΗ800314</t>
  </si>
  <si>
    <t>ΜΠΙΤΣΙΛΗ</t>
  </si>
  <si>
    <t>ΑΖ190828</t>
  </si>
  <si>
    <t>ΓΕΩΡΓΙΩΤΗ</t>
  </si>
  <si>
    <t>Χ453366</t>
  </si>
  <si>
    <t>ΗΛΙΟΠΟΥΛΟΥ</t>
  </si>
  <si>
    <t>ΑΝ541821</t>
  </si>
  <si>
    <t>ΝΗΡΟΥ</t>
  </si>
  <si>
    <t>ΑΙ144026</t>
  </si>
  <si>
    <t>Π147416</t>
  </si>
  <si>
    <t>ΚΕΡΑΣΙΝΗ</t>
  </si>
  <si>
    <t>Χ991579</t>
  </si>
  <si>
    <t>ΤΟΓΙΑ</t>
  </si>
  <si>
    <t>ΑΑ325506</t>
  </si>
  <si>
    <t>ΑΡΓΥΡΙΑΔΟΥ</t>
  </si>
  <si>
    <t>ΑΙ404470</t>
  </si>
  <si>
    <t>ΞΩΜΑΛΗ</t>
  </si>
  <si>
    <t>ΑΙ197770</t>
  </si>
  <si>
    <t>ΚΟΥΤΣΑΚΗ</t>
  </si>
  <si>
    <t>ΑΗ961608</t>
  </si>
  <si>
    <t>ΤΖΟΥΡΑ</t>
  </si>
  <si>
    <t>ΑΗ713775</t>
  </si>
  <si>
    <t>ΓΑΛΛΟΥ</t>
  </si>
  <si>
    <t>ΒΕΡΓΕΝΙΑ</t>
  </si>
  <si>
    <t>ΑΖ479717</t>
  </si>
  <si>
    <t>ΚΑΤΣΙΜΗ</t>
  </si>
  <si>
    <t>ΑΙ108017</t>
  </si>
  <si>
    <t>ΡΟΥΣΣΟΥ</t>
  </si>
  <si>
    <t>ΑΙ777797</t>
  </si>
  <si>
    <t>ΑΟ266919</t>
  </si>
  <si>
    <t>ΑΓΑΠΙΟΣ</t>
  </si>
  <si>
    <t>ΑΟ610176</t>
  </si>
  <si>
    <t>ΦΑΣΟΥΛΗ</t>
  </si>
  <si>
    <t>ΑΒ511631</t>
  </si>
  <si>
    <t>ΠΑΠΟΥΤΣΟΠΟΥΛΟΥ</t>
  </si>
  <si>
    <t>ΒΙΡΓΙΝΙΑ</t>
  </si>
  <si>
    <t>ΑΖ980634</t>
  </si>
  <si>
    <t>ΚΑΡΤΑΛΗ</t>
  </si>
  <si>
    <t>ΑΟ789618</t>
  </si>
  <si>
    <t>ΓΑΡΓΑΛΑ</t>
  </si>
  <si>
    <t>ΑΙ855676</t>
  </si>
  <si>
    <t>ΖΩΓΡΑΦΟΥ</t>
  </si>
  <si>
    <t>ΑΙ850831</t>
  </si>
  <si>
    <t>ΣΤΑΜΑΤΟΠΟΥΛΟΥ</t>
  </si>
  <si>
    <t>ΜΑΡΙΑ ΤΡΙΣΕΥΓΕΝΗ</t>
  </si>
  <si>
    <t>ΑΗ080334</t>
  </si>
  <si>
    <t>ΣΤΑΜΕΝΙΤΟΥ</t>
  </si>
  <si>
    <t>ΑΒ115921</t>
  </si>
  <si>
    <t>ΤΖΑΒΕΛΛΑ ΣΦΗΚΑ</t>
  </si>
  <si>
    <t>ΑΚ005726</t>
  </si>
  <si>
    <t>ΤΣΙΧΛΙΑ</t>
  </si>
  <si>
    <t>Ρ815150</t>
  </si>
  <si>
    <t>ΧΗΡΑ</t>
  </si>
  <si>
    <t>ΑΕ319673</t>
  </si>
  <si>
    <t>ΔΑΜΙΓΟΥ</t>
  </si>
  <si>
    <t>ΑΜ234576</t>
  </si>
  <si>
    <t>ΚΑΜΠΙΛΑΥΚΟΥ</t>
  </si>
  <si>
    <t>ΑΒ766513</t>
  </si>
  <si>
    <t>ΠΑΠΑΔΗΜΗΤΡΙΟΥ</t>
  </si>
  <si>
    <t>Π539905</t>
  </si>
  <si>
    <t>ΜΟΥΤΛΑ</t>
  </si>
  <si>
    <t>ΑΙ375085</t>
  </si>
  <si>
    <t>ΡΙΝΤΟΥ</t>
  </si>
  <si>
    <t>ΑΚ435365</t>
  </si>
  <si>
    <t>ΜΑΝΩΛΑ</t>
  </si>
  <si>
    <t>ΑΝ889990</t>
  </si>
  <si>
    <t>ΑΑ086866</t>
  </si>
  <si>
    <t>ΛΙΑΝΤΖΗ</t>
  </si>
  <si>
    <t>ΑΕ339483</t>
  </si>
  <si>
    <t>ΣΑΧΑ</t>
  </si>
  <si>
    <t>Π488504</t>
  </si>
  <si>
    <t>ΣΙΟΡΦΑΝΕ</t>
  </si>
  <si>
    <t xml:space="preserve">ΒΑΣΙΛΕΙΟΣ </t>
  </si>
  <si>
    <t>ΑΗ728567</t>
  </si>
  <si>
    <t>ΧΑΤΖΗΙΩΑΝΝΙΔΟΥ</t>
  </si>
  <si>
    <t>ΣΕΛΗΝΗ</t>
  </si>
  <si>
    <t>Χ886732</t>
  </si>
  <si>
    <t>ΕΛΕΥΘΕΡΙΟΥ</t>
  </si>
  <si>
    <t>ΑΗ286228</t>
  </si>
  <si>
    <t>ΚΥΡΙΜΛΗ</t>
  </si>
  <si>
    <t>ΑΑ962069</t>
  </si>
  <si>
    <t>ΔΟΥΖΕΝΗ</t>
  </si>
  <si>
    <t>Φ291822</t>
  </si>
  <si>
    <t>ΚΟΝΤΣΕ</t>
  </si>
  <si>
    <t>ΚΥΡΙΑΚ</t>
  </si>
  <si>
    <t>ΕΥΣ</t>
  </si>
  <si>
    <t>ΑΒ303144</t>
  </si>
  <si>
    <t>ΑΔΑΜΟΠΟΥΛΟΥ</t>
  </si>
  <si>
    <t>ΑΚ368775</t>
  </si>
  <si>
    <t>ΤΣΟΥΡΟΥΦΛΗ</t>
  </si>
  <si>
    <t>ΑΗ583193</t>
  </si>
  <si>
    <t>ΕΛΜΑΛΟΓΛΟΥ</t>
  </si>
  <si>
    <t>ΑΗ142980</t>
  </si>
  <si>
    <t>ΜΑΡΓΑΡΑ</t>
  </si>
  <si>
    <t>ΑΙΚΑΤΕΡΙΝΗ ΚΑΤΙΑ</t>
  </si>
  <si>
    <t>ΑΖ568800</t>
  </si>
  <si>
    <t>ΑΝΤΩΝΑΚΟΥ</t>
  </si>
  <si>
    <t>ΑΙ803000</t>
  </si>
  <si>
    <t>ΜΟΥΤΣΙΟΥΝΑ</t>
  </si>
  <si>
    <t xml:space="preserve">ΠΑΡΑΣΚΕΥΗ </t>
  </si>
  <si>
    <t>ΑΖ294799</t>
  </si>
  <si>
    <t xml:space="preserve">ΕΜΜΑΝΟΥΗΛΙΔΟΥ </t>
  </si>
  <si>
    <t xml:space="preserve">ΖΗΣΗΣ </t>
  </si>
  <si>
    <t>ΑΖ401513</t>
  </si>
  <si>
    <t>ΚΑΣΤΑΝΙΔΟΥ</t>
  </si>
  <si>
    <t>ΑΚ934664</t>
  </si>
  <si>
    <t>ΜΟΣΚΟΠΟΥΛΟΥ</t>
  </si>
  <si>
    <t>ΖΗΝΟΒΙΑ ΣΑΜΠΡΙΝΑ</t>
  </si>
  <si>
    <t>ΑΖ254797</t>
  </si>
  <si>
    <t>ΜΠΟΚΑ</t>
  </si>
  <si>
    <t>ΑΜ559116</t>
  </si>
  <si>
    <t>ΑΕ152950</t>
  </si>
  <si>
    <t>ΜΑΝΙΤΣΑ</t>
  </si>
  <si>
    <t>ΑΙ383529</t>
  </si>
  <si>
    <t>ΑΥΓΕΡΙΝΟΠΟΥΛΟΥ</t>
  </si>
  <si>
    <t>ΑΓΓΕΛΑΚΗΣ</t>
  </si>
  <si>
    <t>ΑΚ339489</t>
  </si>
  <si>
    <t>ΚΑΦΕΝΤΖΗ</t>
  </si>
  <si>
    <t>ΑΝ856232</t>
  </si>
  <si>
    <t>ΜΟΥΣΤΟΥΚΗ</t>
  </si>
  <si>
    <t>ΑΖ006366</t>
  </si>
  <si>
    <t>ΜΙΣΧΟΥ</t>
  </si>
  <si>
    <t>ΑΝ720758</t>
  </si>
  <si>
    <t>ΧΡΙΣΤΙΝΑ ΑΝΑΣΤΑΣΙΑ</t>
  </si>
  <si>
    <t>ΑΟ885999</t>
  </si>
  <si>
    <t>ΚΕΜΕΚΕΝΙΔΟΥ</t>
  </si>
  <si>
    <t>ΑΕ760075</t>
  </si>
  <si>
    <t>ΓΕΡΟΝΤΙΔΟΥ</t>
  </si>
  <si>
    <t>ΑΗ158258</t>
  </si>
  <si>
    <t>ΣΑΒΒΟΥΛΙΔΟΥ</t>
  </si>
  <si>
    <t>ΑΝ822939</t>
  </si>
  <si>
    <t>ΣΑΡΑΓΓΙΟΛΗ</t>
  </si>
  <si>
    <t>ΜΑΡΙΑ ΑΡΕΤΗ</t>
  </si>
  <si>
    <t>Τ501785</t>
  </si>
  <si>
    <t>ΚΥΡΙΑΖΟΠΟΥΛΟΥ</t>
  </si>
  <si>
    <t>ΑΓΝΗ</t>
  </si>
  <si>
    <t>Χ880344</t>
  </si>
  <si>
    <t>ΚΙΖΗ</t>
  </si>
  <si>
    <t>ΣΤΕΛΛΙΟΣ</t>
  </si>
  <si>
    <t>ΑΝ887189</t>
  </si>
  <si>
    <t>ΚΟΥΛΙΔΟΥ</t>
  </si>
  <si>
    <t>ΑΚ979623</t>
  </si>
  <si>
    <t>ΤΣΑΚΑΡΑΚΗ</t>
  </si>
  <si>
    <t>ΑΖ596516</t>
  </si>
  <si>
    <t>ΣΑΠΑΝΗ</t>
  </si>
  <si>
    <t>ΑΚ064696</t>
  </si>
  <si>
    <t xml:space="preserve">ΔΕΣΠΟΙΝΑ </t>
  </si>
  <si>
    <t>ΑΗ822087</t>
  </si>
  <si>
    <t>Ν848844</t>
  </si>
  <si>
    <t>ΚΑΡΑΝΙΚΟΛΗ</t>
  </si>
  <si>
    <t>ΜΑΡΙΑ ΕΛΕΝΗ</t>
  </si>
  <si>
    <t>ΑΒ847626</t>
  </si>
  <si>
    <t>ΡΗΓΟΠΟΥΛΟΥ</t>
  </si>
  <si>
    <t>ΑΝ104653</t>
  </si>
  <si>
    <t>ΠΑΠΑΓΙΑΝΝΑΚΟΠΟΥΛΟΥ</t>
  </si>
  <si>
    <t>ΑΖ217484</t>
  </si>
  <si>
    <t>ΣΚΡΕΤΑ</t>
  </si>
  <si>
    <t>ΑΖ541751</t>
  </si>
  <si>
    <t>ΣΕΦΕΡΗ</t>
  </si>
  <si>
    <t>Ρ467239</t>
  </si>
  <si>
    <t>ΑΙΚΑΤΕΡΙΝΗ ΔΕΣΠΟΙΝΑ</t>
  </si>
  <si>
    <t>ΑΕ725560</t>
  </si>
  <si>
    <t>ΣΑΝΤΑΛΟΓΛΟΥ</t>
  </si>
  <si>
    <t>ΑΙ134750</t>
  </si>
  <si>
    <t>ΘΕΟΔΩΡΙΔΟΥ</t>
  </si>
  <si>
    <t>ΑΖ873067</t>
  </si>
  <si>
    <t>ΚΑΣΙΜΗ</t>
  </si>
  <si>
    <t>ΣΑΤΥΑ ΑΝΑΣΤΑΣΙΑ</t>
  </si>
  <si>
    <t>ΑΒ593028</t>
  </si>
  <si>
    <t>ΛΙΑΔΑΚΗ</t>
  </si>
  <si>
    <t>ΟΛΓΑ ΦΑΝΟΥΡΙΑ</t>
  </si>
  <si>
    <t>ΑΡ003633</t>
  </si>
  <si>
    <t>ΙΑΤΡΙΔΟΥ</t>
  </si>
  <si>
    <t>ΑΗ110405</t>
  </si>
  <si>
    <t>ΧΑΒΑΔΑΚΗ</t>
  </si>
  <si>
    <t>ΑΖ962529</t>
  </si>
  <si>
    <t>ΤΑΣΑΚΟΥ</t>
  </si>
  <si>
    <t>ΑΝ384953</t>
  </si>
  <si>
    <t>ΑΛΕΞΙΟΥ</t>
  </si>
  <si>
    <t>Φ341111</t>
  </si>
  <si>
    <t>ΑΒ094872</t>
  </si>
  <si>
    <t>ΚΑΛΦΑΓΙΑΝΝΗ</t>
  </si>
  <si>
    <t>ΑΒ384476</t>
  </si>
  <si>
    <t>ΒΑΛΜΑ</t>
  </si>
  <si>
    <t xml:space="preserve">ΕΛΕΝΗ </t>
  </si>
  <si>
    <t>ΑΗ290710</t>
  </si>
  <si>
    <t>ΚΑΒΟΥΡΑΚΗ</t>
  </si>
  <si>
    <t>ΧΡΥΣΟΒΑΛΑΝΤΟΥ</t>
  </si>
  <si>
    <t>ΑΗ787879</t>
  </si>
  <si>
    <t>ΠΑΝΑΓΟΥ</t>
  </si>
  <si>
    <t>ΑΖ345903</t>
  </si>
  <si>
    <t>ΑΟ764919</t>
  </si>
  <si>
    <t>ΑΣΜΑΝΗ</t>
  </si>
  <si>
    <t>ΠΕΡΣΕΦΟΝΗ ΒΑΣΙΛΙΚΗ</t>
  </si>
  <si>
    <t>ΣΤΕΛΙΟΣ</t>
  </si>
  <si>
    <t>ΑΖ927562</t>
  </si>
  <si>
    <t>ΓΟΥΝΑΡΗ</t>
  </si>
  <si>
    <t>ΑΖ927308</t>
  </si>
  <si>
    <t>ΚΑΡΑΣΤΑΜΑΤΗ</t>
  </si>
  <si>
    <t>ΑΖ268186</t>
  </si>
  <si>
    <t>ΚΑΛΛΙΟΝΑΚΗ</t>
  </si>
  <si>
    <t>ΑΖ468199</t>
  </si>
  <si>
    <t>ΣΚΟΥΦΟΥ</t>
  </si>
  <si>
    <t>ΔΗΜΗΤΡΑ ΘΑΛΕΙΑ</t>
  </si>
  <si>
    <t>ΑΒ404442</t>
  </si>
  <si>
    <t>ΑΙ338044</t>
  </si>
  <si>
    <t>ΑΠΙΔΟΠΟΥΛΟΥ</t>
  </si>
  <si>
    <t>ΑΖ801412</t>
  </si>
  <si>
    <t>ΝΑΥΡΟΖΟΓΛΟΥ</t>
  </si>
  <si>
    <t>ΑΚ384895</t>
  </si>
  <si>
    <t>ΙΩΑΚΕΙΜΙΔΟΥ</t>
  </si>
  <si>
    <t>ΑΙ920780</t>
  </si>
  <si>
    <t>ΠΑΛΑΚΙΔΟΥ</t>
  </si>
  <si>
    <t>ΑΖ393565</t>
  </si>
  <si>
    <t>ΤΑΣΚΑ</t>
  </si>
  <si>
    <t>Φ340726</t>
  </si>
  <si>
    <t>ΚΙΣΣΑΒΟΥ</t>
  </si>
  <si>
    <t xml:space="preserve">ΕΥΔΟΞΙΑ </t>
  </si>
  <si>
    <t xml:space="preserve">ΧΡΙΣΤΟΦΟΡΟΣ </t>
  </si>
  <si>
    <t>ΑΜ366155</t>
  </si>
  <si>
    <t>ΚΩΣΤΑΣ</t>
  </si>
  <si>
    <t>ΑΕ787543</t>
  </si>
  <si>
    <t>ΝΕΖΗ</t>
  </si>
  <si>
    <t>ΑΒ271252</t>
  </si>
  <si>
    <t>ΤΟΥΡΓΟΥΤΟΓΛΟΥ</t>
  </si>
  <si>
    <t>ΚΥΡΙΑΚΟΣ ΙΣΑΑΚ</t>
  </si>
  <si>
    <t>ΑΑ080550</t>
  </si>
  <si>
    <t>ΚΑΣΙΟΥΡΑ</t>
  </si>
  <si>
    <t>ΧΑΡΟΥΛΑ</t>
  </si>
  <si>
    <t>ΑΒ852410</t>
  </si>
  <si>
    <t>ΚΟΥΣΚΟΥΡΙΔΑ</t>
  </si>
  <si>
    <t>ΑΜ358075</t>
  </si>
  <si>
    <t>ΓΑΙΤΑΝΗ</t>
  </si>
  <si>
    <t>ΣΟΦΙΑ ΜΑΡΙΑ</t>
  </si>
  <si>
    <t>ΑΕ050894</t>
  </si>
  <si>
    <t>ΑΝΔΡΟΝΙΚΗ</t>
  </si>
  <si>
    <t>ΑΟ505999</t>
  </si>
  <si>
    <t>ΜΠΑΛΟΥ</t>
  </si>
  <si>
    <t>ΑΑ480382</t>
  </si>
  <si>
    <t>ΑΕ818247</t>
  </si>
  <si>
    <t>ΓΑΛΟΓΑΥΡΟΥ</t>
  </si>
  <si>
    <t>ΑΖ787716</t>
  </si>
  <si>
    <t>ΓΙΟΒΑΝΑΚΗΣ</t>
  </si>
  <si>
    <t>ΑΗ936848</t>
  </si>
  <si>
    <t>ΑΝΑΤΟΛΗ</t>
  </si>
  <si>
    <t>ΑΜ663981</t>
  </si>
  <si>
    <t xml:space="preserve">ΤΣΙΡΟΓΙΑΝΝΗ </t>
  </si>
  <si>
    <t xml:space="preserve">ΓΕΩΡΓΙΟΣ </t>
  </si>
  <si>
    <t>ΑΖ504375</t>
  </si>
  <si>
    <t>ΓΕΩΡΓΟΥΛΑ</t>
  </si>
  <si>
    <t>ΑΚ723446</t>
  </si>
  <si>
    <t>ΜΟΥΚΑ</t>
  </si>
  <si>
    <t>ΑΕ268764</t>
  </si>
  <si>
    <t>ΟΡΟΥΤΖΟΓΛΟΥ</t>
  </si>
  <si>
    <t>ΑΖ907502</t>
  </si>
  <si>
    <t>ΜΑΓΚΑΝΙΑΡΗ</t>
  </si>
  <si>
    <t>ΑΟ900630</t>
  </si>
  <si>
    <t>ΒΕΡΓΗ</t>
  </si>
  <si>
    <t>ΑΒ403794</t>
  </si>
  <si>
    <t>ΓΕΝΟΒΕΦΑ</t>
  </si>
  <si>
    <t>ΑΖ815677</t>
  </si>
  <si>
    <t>ΚΑΤΣΙΜΙΧΑ</t>
  </si>
  <si>
    <t>ΑΕ264613</t>
  </si>
  <si>
    <t>ΜΑΣΤΟΡΟΓΙΑΝΝΗ</t>
  </si>
  <si>
    <t>ΑΟ362804</t>
  </si>
  <si>
    <t>ΜΕΣΤΑΝ</t>
  </si>
  <si>
    <t>ΕΜΕΛ</t>
  </si>
  <si>
    <t>ΑΧΜΕΤ</t>
  </si>
  <si>
    <t>ΑΖ364160</t>
  </si>
  <si>
    <t>ΚΑΚΟΥΛΙΔΟΥ</t>
  </si>
  <si>
    <t>ΑΚ992625</t>
  </si>
  <si>
    <t>ΚΑΡΤΣΙΜΑΔΑΚΗ</t>
  </si>
  <si>
    <t>ΑΖ506391</t>
  </si>
  <si>
    <t>ΟΡΦΑΝΙΔΟΥ</t>
  </si>
  <si>
    <t>ΙΕΡΟΘΕΟΣ</t>
  </si>
  <si>
    <t>ΑΕ206273</t>
  </si>
  <si>
    <t>ΣΤΡΩΜΑΤΙΑ</t>
  </si>
  <si>
    <t>Μ886945</t>
  </si>
  <si>
    <t>ΠΑΚΤΙΤΗ</t>
  </si>
  <si>
    <t>ΑΕ297428</t>
  </si>
  <si>
    <t>ΣΙΚΟΒΕΛΑ</t>
  </si>
  <si>
    <t>ΑΙ299287</t>
  </si>
  <si>
    <t>Χ821138</t>
  </si>
  <si>
    <t>ΑΙ166010</t>
  </si>
  <si>
    <t>ΒΑΣΣΙΟΥ</t>
  </si>
  <si>
    <t>ΑΙ813820</t>
  </si>
  <si>
    <t>ΤΣΑΓΚΑ</t>
  </si>
  <si>
    <t>ΜΑΡΙΑΝΑ ΑΛΕΞΙΑ</t>
  </si>
  <si>
    <t>ΑΝ050554</t>
  </si>
  <si>
    <t>ΣΤΑΜΑΤΑΚΟΥ</t>
  </si>
  <si>
    <t>Ρ383774</t>
  </si>
  <si>
    <t>ΚΑΛΑΙΤΣΙΔΟΥ</t>
  </si>
  <si>
    <t>ΑΟ223110</t>
  </si>
  <si>
    <t>ΜΠΑΣΟΥΚΟΥ</t>
  </si>
  <si>
    <t>Χ829499</t>
  </si>
  <si>
    <t>ΑΖ709146</t>
  </si>
  <si>
    <t>ΤΖΙΤΖΙΡΑ</t>
  </si>
  <si>
    <t>ΑΝ126362</t>
  </si>
  <si>
    <t>ΚΑΜΝΟΡΟΚΑ</t>
  </si>
  <si>
    <t>ΑΜ721016</t>
  </si>
  <si>
    <t>ΚΟΛΛΗΜΕΝΟΥ</t>
  </si>
  <si>
    <t>Χ219211</t>
  </si>
  <si>
    <t>ΔΑΛΑΝΑ</t>
  </si>
  <si>
    <t>Χ344146</t>
  </si>
  <si>
    <t>ΠΑΠΑΒΑΣΙΛΗ</t>
  </si>
  <si>
    <t>ΑΒ333125</t>
  </si>
  <si>
    <t>ΑΒ488323</t>
  </si>
  <si>
    <t>Μ018460</t>
  </si>
  <si>
    <t>Τ274728</t>
  </si>
  <si>
    <t>ΚΑΡΑΝΙΚΑ</t>
  </si>
  <si>
    <t>ΑΜ066915</t>
  </si>
  <si>
    <t>ΚΑΤΣΙΑΒΑΡΑ</t>
  </si>
  <si>
    <t>Σ892474</t>
  </si>
  <si>
    <t>ΤΣΩΚΟΥ</t>
  </si>
  <si>
    <t>ΑΝ729814</t>
  </si>
  <si>
    <t>ΖΩΡΑ</t>
  </si>
  <si>
    <t>ΑΝ322319</t>
  </si>
  <si>
    <t>ΜΑΡΓΙΩΡΗ</t>
  </si>
  <si>
    <t>ΑΜ935475</t>
  </si>
  <si>
    <t>ΜΠΟΥΡΛΙΒΑ</t>
  </si>
  <si>
    <t>Ρ204902</t>
  </si>
  <si>
    <t>ΜΠΟΥΡΟΝΙΚΟΥ</t>
  </si>
  <si>
    <t>ΑΜ415713</t>
  </si>
  <si>
    <t>ΡΟΜΠΟΤΗ</t>
  </si>
  <si>
    <t>Χ718786</t>
  </si>
  <si>
    <t>ΑΕ325717</t>
  </si>
  <si>
    <t>ΜΠΑΧΛΙΤΖΑΝΑΚΗ</t>
  </si>
  <si>
    <t>ΑΜ460158</t>
  </si>
  <si>
    <t>ΚΟΥΚΟΥΡΙΚΟΥ</t>
  </si>
  <si>
    <t>ΑΖ179802</t>
  </si>
  <si>
    <t>ΤΣΑΚΕΛΙΔΟΥ</t>
  </si>
  <si>
    <t>Ρ876137</t>
  </si>
  <si>
    <t>ΘΕΟΔΟΣΙΑ ΚΥΡΙΑΚΗ</t>
  </si>
  <si>
    <t>Χ235469</t>
  </si>
  <si>
    <t>ΚΟΛΛΑΡΗ</t>
  </si>
  <si>
    <t>ΑΗ803978</t>
  </si>
  <si>
    <t>ΚΙΜΠΟΥΡΗ</t>
  </si>
  <si>
    <t>ΑΔΡΙΑΝΟΣ</t>
  </si>
  <si>
    <t>ΑΚ959154</t>
  </si>
  <si>
    <t>ΜΠΑΖΩΤΗ</t>
  </si>
  <si>
    <t>ΑΖ489947</t>
  </si>
  <si>
    <t>ΑΚ528707</t>
  </si>
  <si>
    <t>ΓΚΕΝΩΣΗ</t>
  </si>
  <si>
    <t>ΑΗ060087</t>
  </si>
  <si>
    <t>Σ031295</t>
  </si>
  <si>
    <t>ΤΣΑΧΟΥΡΙΔΟΥ</t>
  </si>
  <si>
    <t>ΑΜ412570</t>
  </si>
  <si>
    <t>ΑΚ522310</t>
  </si>
  <si>
    <t>ΔΗΜΗΤΡΑΚΟΠΟΥΛΟΥ</t>
  </si>
  <si>
    <t>ΑΒ302300</t>
  </si>
  <si>
    <t>ΤΡΙΓΑΖΗ</t>
  </si>
  <si>
    <t>ΑΗ717674</t>
  </si>
  <si>
    <t>ΧΑΝΤΟΠΟΥΛΟΥ</t>
  </si>
  <si>
    <t>ΑΙ687776</t>
  </si>
  <si>
    <t>ΣΙΔΕΡΗ</t>
  </si>
  <si>
    <t>ΑΑ304753</t>
  </si>
  <si>
    <t>ΑΣΒΕΣΤΑΡΗ</t>
  </si>
  <si>
    <t>ΑΛΚΜΗΝΗ</t>
  </si>
  <si>
    <t>ΑΙ040306</t>
  </si>
  <si>
    <t>ΓΕΩΡΓΑΚΗ</t>
  </si>
  <si>
    <t>ΑΗ537643</t>
  </si>
  <si>
    <t>ΑΗ455184</t>
  </si>
  <si>
    <t>ΑΒ067772</t>
  </si>
  <si>
    <t>ΔΕΣΥΛΛΑ</t>
  </si>
  <si>
    <t>Ρ663667</t>
  </si>
  <si>
    <t>ΤΖΟΥΒΑΡΑ</t>
  </si>
  <si>
    <t>ΑΖ178886</t>
  </si>
  <si>
    <t>ΔΟΛΑΨΑΚΗ</t>
  </si>
  <si>
    <t>ΑΗ967943</t>
  </si>
  <si>
    <t>ΚΩΣΤΙΔΗ</t>
  </si>
  <si>
    <t>ΕΛΕΝΗ ΕΥΤΥΧΙΑ</t>
  </si>
  <si>
    <t>ΑΙ 412891</t>
  </si>
  <si>
    <t>ΦΙΛΙΠΠΙΔΟΥ</t>
  </si>
  <si>
    <t>ΑΚ686161</t>
  </si>
  <si>
    <t>ΝΙΚΑ</t>
  </si>
  <si>
    <t>ΑΙ978317</t>
  </si>
  <si>
    <t>ΑΓΟΡΟΠΟΥΛΟΥ</t>
  </si>
  <si>
    <t>ΑΗ305031</t>
  </si>
  <si>
    <t>ΦΙΛΙΠΤΣΟΥΚ</t>
  </si>
  <si>
    <t>ΜΙΚΟΛΑ</t>
  </si>
  <si>
    <t>ΑΝ138379</t>
  </si>
  <si>
    <t>ΧΟΜΠΗ</t>
  </si>
  <si>
    <t>Λ992578</t>
  </si>
  <si>
    <t>ΞΕΝΑΚΗ</t>
  </si>
  <si>
    <t>ΑΝ561824</t>
  </si>
  <si>
    <t>ΛΑΝΑΡΑ</t>
  </si>
  <si>
    <t>ΑΚ322735</t>
  </si>
  <si>
    <t>ΤΣΙΟΥΚΑΡΑ</t>
  </si>
  <si>
    <t>ΑΚ424193</t>
  </si>
  <si>
    <t>ΙΑ</t>
  </si>
  <si>
    <t>ΑΒΤΑΝΤΙΛ</t>
  </si>
  <si>
    <t>ΑΙ971187</t>
  </si>
  <si>
    <t>ΣΕΡΑΦΕΙΜ</t>
  </si>
  <si>
    <t>ΑΙ509248</t>
  </si>
  <si>
    <t>ΜΙΧΑΗΛΙΔΗ</t>
  </si>
  <si>
    <t>ΑΗ209948</t>
  </si>
  <si>
    <t>ΛΑΜΠΡΙΝΟΥ</t>
  </si>
  <si>
    <t>Χ790103</t>
  </si>
  <si>
    <t>ΑΘΑΝΑΤΟΥ</t>
  </si>
  <si>
    <t>ΑΡΤΕΜΗΣΙΑ</t>
  </si>
  <si>
    <t>Χ410159</t>
  </si>
  <si>
    <t>ΛΥΓΚΟΒΑΝΛΗ</t>
  </si>
  <si>
    <t>ΑΕ864439</t>
  </si>
  <si>
    <t>ΝΤΟΥΓΚΑ</t>
  </si>
  <si>
    <t>ΑΟ446454</t>
  </si>
  <si>
    <t>ΚΕΛΕΠΟΥΡΗ</t>
  </si>
  <si>
    <t>ΑΖ721668</t>
  </si>
  <si>
    <t>ΣΑΚΑΛΗ</t>
  </si>
  <si>
    <t>Ρ720457</t>
  </si>
  <si>
    <t>ΜΠΑΜΠΑΛΙΑΡΗ</t>
  </si>
  <si>
    <t>Σ749296</t>
  </si>
  <si>
    <t>ΞΑΦΑΚΟΥ</t>
  </si>
  <si>
    <t>ΧΡΥΣΑΦΗΣ</t>
  </si>
  <si>
    <t>ΑΗ849220</t>
  </si>
  <si>
    <t>ΔΕΛΛΗ</t>
  </si>
  <si>
    <t>ΑΝ536147</t>
  </si>
  <si>
    <t>ΤΡΑΙΚΟΥ</t>
  </si>
  <si>
    <t>ΑΜ866074</t>
  </si>
  <si>
    <t>ΔΕΛΗΑΝΔΡΕΑΔΟΥ</t>
  </si>
  <si>
    <t>ΠΟΛΥΜΝΙΑ</t>
  </si>
  <si>
    <t>ΑΜ674305</t>
  </si>
  <si>
    <t>ΓΡΙΒΑ</t>
  </si>
  <si>
    <t>ΑΜ618784</t>
  </si>
  <si>
    <t>ΠΑΠΠΟΥ</t>
  </si>
  <si>
    <t>Φ485039</t>
  </si>
  <si>
    <t>ΝΥΦΑΝΤΟΠΟΥΛΟΥ</t>
  </si>
  <si>
    <t>ΑΒ385817</t>
  </si>
  <si>
    <t>ΧΑΤΖΟΠΟΥΛΟΥ</t>
  </si>
  <si>
    <t>Χ125905</t>
  </si>
  <si>
    <t>ΜΑΝΗ</t>
  </si>
  <si>
    <t>Χ161981</t>
  </si>
  <si>
    <t>ΑΧΛΑΔΗ</t>
  </si>
  <si>
    <t>ΑΙ089049</t>
  </si>
  <si>
    <t>ΑΒ490498</t>
  </si>
  <si>
    <t>ΜΠΑΜΠΑ</t>
  </si>
  <si>
    <t>Α0238882</t>
  </si>
  <si>
    <t>ΑΛΜΕΤΙΔΟΥ</t>
  </si>
  <si>
    <t>ΑΕ916369</t>
  </si>
  <si>
    <t>ΑΝ349532</t>
  </si>
  <si>
    <t>ΜΠΑΜΙΑΤΖΗ</t>
  </si>
  <si>
    <t>Σ609154</t>
  </si>
  <si>
    <t>ΛΗΜΝΙΟΥ</t>
  </si>
  <si>
    <t>ΑΚ843319</t>
  </si>
  <si>
    <t>ΜΟΣΧΟΛΙΔΟΥ</t>
  </si>
  <si>
    <t>ΑΗ423608</t>
  </si>
  <si>
    <t>ΠΕΤΚΑΡΗ</t>
  </si>
  <si>
    <t>ΑΜ690152</t>
  </si>
  <si>
    <t>ΧΡΙΣΤΙΝΑ ΦΩΤΕΙΝΗ</t>
  </si>
  <si>
    <t>ΑΚ697420</t>
  </si>
  <si>
    <t>ΚΑΡΥΠΙΔΟΥ</t>
  </si>
  <si>
    <t>ΑΚ854831</t>
  </si>
  <si>
    <t>ΑΗ577514</t>
  </si>
  <si>
    <t>ΚΟΖΙΩΡΗ</t>
  </si>
  <si>
    <t>ΑΕ710734</t>
  </si>
  <si>
    <t>ΔΑΜΑΣΙΩΤΟΥ</t>
  </si>
  <si>
    <t>ΑΙ868072</t>
  </si>
  <si>
    <t>ΤΕΛΛΙΟΥ</t>
  </si>
  <si>
    <t>ΑΙ848913</t>
  </si>
  <si>
    <t>ΣΑΟΥΓΚΟΥ</t>
  </si>
  <si>
    <t>ΑΜΑΛΙΑ ΧΡΙΣΤΙΑΝΑ</t>
  </si>
  <si>
    <t>Χ867872</t>
  </si>
  <si>
    <t>ΑΚ290633</t>
  </si>
  <si>
    <t>ΚΟΚΟΛΗ</t>
  </si>
  <si>
    <t>Σ737232</t>
  </si>
  <si>
    <t>ΧΑΤΖΗΘΕΟΦΑΝΟΥΣ</t>
  </si>
  <si>
    <t>ΑΕ909946</t>
  </si>
  <si>
    <t>ΑΛΕΞΟΠΟΥΛΟΥ</t>
  </si>
  <si>
    <t>ΙΩΑΝΝΑ ΞΑΚΟΥΣΤΗ</t>
  </si>
  <si>
    <t>ΑΜ314261</t>
  </si>
  <si>
    <t>ΚΑΡΑΠΙΠΕΡΗ</t>
  </si>
  <si>
    <t>ΑΝ136296</t>
  </si>
  <si>
    <t>ΛΑΘΟΥΡΑΚΗ</t>
  </si>
  <si>
    <t>Ρ067431</t>
  </si>
  <si>
    <t>ΓΟΥΓΟΥΣΗ</t>
  </si>
  <si>
    <t>ΑΑ272340</t>
  </si>
  <si>
    <t>ΚΟΚΟΚΥΡΗ</t>
  </si>
  <si>
    <t>ΑΝ230357</t>
  </si>
  <si>
    <t>ΚΟΛΛΙΟΥ</t>
  </si>
  <si>
    <t>ΑΒ311004</t>
  </si>
  <si>
    <t>ΤΣΑΡΝΑ</t>
  </si>
  <si>
    <t>Χ122405</t>
  </si>
  <si>
    <t>ΚΙΣΣΑΜΙΤΑΚΗ</t>
  </si>
  <si>
    <t>Σ496441</t>
  </si>
  <si>
    <t>ΜΠΙΝΙΧΑΚΗ</t>
  </si>
  <si>
    <t>ΑΚ470297</t>
  </si>
  <si>
    <t>ΧΑΤΖΗ</t>
  </si>
  <si>
    <t>ΚΟΡΙΝΑ</t>
  </si>
  <si>
    <t>Ρ353646</t>
  </si>
  <si>
    <t>ΖΑΚΑΙΟΥ</t>
  </si>
  <si>
    <t>ΜΑΡΙΖΗΝΑ</t>
  </si>
  <si>
    <t>ΑΖ443324</t>
  </si>
  <si>
    <t>ΤΣΕΚΑ</t>
  </si>
  <si>
    <t>ΑΑ039407</t>
  </si>
  <si>
    <t>ΠΑΝΤΕΛΕΗΜΩΝ</t>
  </si>
  <si>
    <t>ΑΜ719312</t>
  </si>
  <si>
    <t>Ρ098031</t>
  </si>
  <si>
    <t>ΖΑΦΕΙΡΗ</t>
  </si>
  <si>
    <t>ΑΙ836671</t>
  </si>
  <si>
    <t>ΒΑΛΗ</t>
  </si>
  <si>
    <t>ΓΙΑΣΙΜΩ</t>
  </si>
  <si>
    <t>Χ570092</t>
  </si>
  <si>
    <t>ΑΗ247775</t>
  </si>
  <si>
    <t>ΑΙ651518</t>
  </si>
  <si>
    <t>Τ373376</t>
  </si>
  <si>
    <t>ΤΖΑΒΑΡΑ</t>
  </si>
  <si>
    <t>ΑΟ046822</t>
  </si>
  <si>
    <t>ΧΡΥΣΑΓΗ</t>
  </si>
  <si>
    <t>ΑΙ485652</t>
  </si>
  <si>
    <t>ΜΠΑΡΓΙΑΝΝΗ</t>
  </si>
  <si>
    <t>ΜΑΡΙΑ ΑΝΘΗ</t>
  </si>
  <si>
    <t>ΑΖ589561</t>
  </si>
  <si>
    <t>ΤΗΡΑΙΔΗ</t>
  </si>
  <si>
    <t>ΑΚ578445</t>
  </si>
  <si>
    <t>ΠΑΓΩΝΗ</t>
  </si>
  <si>
    <t>ΠΟΛΥΤΙΜΗ</t>
  </si>
  <si>
    <t>ΣΑΡΑΝΤΟΣ</t>
  </si>
  <si>
    <t>ΑΗ735983</t>
  </si>
  <si>
    <t>ΑΜ055365</t>
  </si>
  <si>
    <t>ΧΑΤΖΗΜΙΧΑΗΛ</t>
  </si>
  <si>
    <t>ΜΗΝΟΔΩΡΑ</t>
  </si>
  <si>
    <t>ΑΑ345040</t>
  </si>
  <si>
    <t>ΠΕΛΑΡΓΟΥ</t>
  </si>
  <si>
    <t>ΑΕ875020</t>
  </si>
  <si>
    <t>ΘΕΟΤΟΚΑΤΟΥ</t>
  </si>
  <si>
    <t>ΔΗΜΗΤΡΗΣ</t>
  </si>
  <si>
    <t>Π102169</t>
  </si>
  <si>
    <t>ΜΠΑΝΑΒΑ</t>
  </si>
  <si>
    <t>ΑΙ361682</t>
  </si>
  <si>
    <t>ΣΙΟΥΡΔΗ</t>
  </si>
  <si>
    <t>ΑΙ318388</t>
  </si>
  <si>
    <t>ΤΣΙΤΑΚΗ</t>
  </si>
  <si>
    <t>ΑΗ658158</t>
  </si>
  <si>
    <t>ΤΣΙΡΤΣΩΝΗ</t>
  </si>
  <si>
    <t>ΑΙ720645</t>
  </si>
  <si>
    <t>ΡΟΥΣΟΠΟΥΛΟΥ</t>
  </si>
  <si>
    <t>ΑΕ619833</t>
  </si>
  <si>
    <t>ΠΑΡΟΥΔΗ</t>
  </si>
  <si>
    <t>ΑΚ898610</t>
  </si>
  <si>
    <t>ΑΝ830599</t>
  </si>
  <si>
    <t>ΧΑΤΖΗΧΑΡΑΛΑΜΠΟΥΣ</t>
  </si>
  <si>
    <t>Χ740616</t>
  </si>
  <si>
    <t>ΜΠΑΡΜΠΑΔΗΜΟΥ</t>
  </si>
  <si>
    <t>ΑΙ995952</t>
  </si>
  <si>
    <t>ΤΟΥΡΛΗ</t>
  </si>
  <si>
    <t>ΑΗ049129</t>
  </si>
  <si>
    <t>ΑΜ362331</t>
  </si>
  <si>
    <t>ΜΑΝΤΙΝΙΩΤΗ</t>
  </si>
  <si>
    <t xml:space="preserve">ΟΛΓΑ </t>
  </si>
  <si>
    <t>ΑΗ434454</t>
  </si>
  <si>
    <t>ΚΑΛΦΑ</t>
  </si>
  <si>
    <t>ΑΝ989922</t>
  </si>
  <si>
    <t>ΔΑΡΔΑΝΗ</t>
  </si>
  <si>
    <t>ΑΙ813047</t>
  </si>
  <si>
    <t>ΣΤΑΜΟΥΛΗ</t>
  </si>
  <si>
    <t>ΑΝ144227</t>
  </si>
  <si>
    <t>ΒΟΥΡΟΥ</t>
  </si>
  <si>
    <t>ΑΕ591226</t>
  </si>
  <si>
    <t>ΤΖΑΝΑΚΑΚΗ</t>
  </si>
  <si>
    <t>ΚΑΛΛΙΟΠΗ ΒΑΡBAΡΑ</t>
  </si>
  <si>
    <t>ΑΜ461957</t>
  </si>
  <si>
    <t>ΑΚ068516</t>
  </si>
  <si>
    <t>ΤΣΙΤΣΙΑ</t>
  </si>
  <si>
    <t>ΑΝ252927</t>
  </si>
  <si>
    <t>ΠΟΥΡΣΑΝΙΔΟΥ</t>
  </si>
  <si>
    <t>ΑΗ696196</t>
  </si>
  <si>
    <t>ΜΠΟΥΦΙΔΗ</t>
  </si>
  <si>
    <t>ΑΙ533383</t>
  </si>
  <si>
    <t>ΑΚ423586</t>
  </si>
  <si>
    <t>ΜΠΟΥΖΙΟΥ</t>
  </si>
  <si>
    <t>ΛΥΚΟΥΡΓΟΣ</t>
  </si>
  <si>
    <t>ΑΚ371162</t>
  </si>
  <si>
    <t>ΤΟΥΣΚΙΔΟΥ</t>
  </si>
  <si>
    <t>ΑΗ681151</t>
  </si>
  <si>
    <t>ΓΑΒΑΛΑ</t>
  </si>
  <si>
    <t>ΑΗ040909</t>
  </si>
  <si>
    <t>ΚΑΡΑΓΙΑΝΝΗ</t>
  </si>
  <si>
    <t>ΑΙ721649</t>
  </si>
  <si>
    <t>ΚΙΟΥΡΤΑΚΗ</t>
  </si>
  <si>
    <t>ΠΑΣΧΑΛΙΑ</t>
  </si>
  <si>
    <t>Χ476965</t>
  </si>
  <si>
    <t>ΑΗ539107</t>
  </si>
  <si>
    <t>ΣΤΟΦΟΡΟΥ</t>
  </si>
  <si>
    <t>ΑΖ980975</t>
  </si>
  <si>
    <t>ΑΖ708107</t>
  </si>
  <si>
    <t>ΓΕΡΟΚΟΜΟΥ</t>
  </si>
  <si>
    <t>Ρ240886</t>
  </si>
  <si>
    <t>Χ989000</t>
  </si>
  <si>
    <t>ΚΕΜΑΛΗ</t>
  </si>
  <si>
    <t>ΑΙ405121</t>
  </si>
  <si>
    <t>ΜΕΤΑΞΙΑ</t>
  </si>
  <si>
    <t>ΑΚ681609</t>
  </si>
  <si>
    <t>ΑΝ682528</t>
  </si>
  <si>
    <t>ΝΤΑΛΙΑΡΔΑ</t>
  </si>
  <si>
    <t>ΑΖ759031</t>
  </si>
  <si>
    <t>ΔΗΜΟΠΟΥΛΟΥ</t>
  </si>
  <si>
    <t>ΑΕ234826</t>
  </si>
  <si>
    <t>ΤΣΑΠΟΥ</t>
  </si>
  <si>
    <t>ΑΖ296620</t>
  </si>
  <si>
    <t>ΧΡΥΣΑΦΗ</t>
  </si>
  <si>
    <t>ΘΕΟΔΩΡΑ ΜΑΡΙΑ</t>
  </si>
  <si>
    <t>ΑΒ555718</t>
  </si>
  <si>
    <t>ΚΑΛΑΜΙΔΑ</t>
  </si>
  <si>
    <t>ΑΜ522498</t>
  </si>
  <si>
    <t>ΜΠΟΖΗ</t>
  </si>
  <si>
    <t>ΑΖ409873</t>
  </si>
  <si>
    <t>ΣΟΥΦΛΙΑ</t>
  </si>
  <si>
    <t>ΑΖ270871</t>
  </si>
  <si>
    <t>ΛΥΤΣΙΟΥΛΗ</t>
  </si>
  <si>
    <t>AZ791417</t>
  </si>
  <si>
    <t>ΔΗΜΗΤΡΟΓΙΑΝΝΗ</t>
  </si>
  <si>
    <t>Ρ776484</t>
  </si>
  <si>
    <t>ΠΑΛΑΙΟΓΛΙΔΟΥ</t>
  </si>
  <si>
    <t>ΑΕ334505</t>
  </si>
  <si>
    <t>ΒΑΛΚΑΝΗ</t>
  </si>
  <si>
    <t>ΑΟ668210</t>
  </si>
  <si>
    <t>ΝΤΕΡΟΥ</t>
  </si>
  <si>
    <t>Ρ870956</t>
  </si>
  <si>
    <t>ΤΣΑΓΚΑΡΑΝΤΩΝΑΚΗ</t>
  </si>
  <si>
    <t>ΜΑΡΙΛΕΝΑ</t>
  </si>
  <si>
    <t>ΑΒ959347</t>
  </si>
  <si>
    <t>ΚΑΝΕΛΛΟΠΟΥΛΟΥ</t>
  </si>
  <si>
    <t>ΔΗΜΟΚΡΙΤΟΣ</t>
  </si>
  <si>
    <t>Χ840049</t>
  </si>
  <si>
    <t>ΜΟΡΦΟΠΟΥΛΟΥ</t>
  </si>
  <si>
    <t>ΑΖ382084</t>
  </si>
  <si>
    <t>ΜΑΓΟΥΛΗ</t>
  </si>
  <si>
    <t>ΑΚ103744</t>
  </si>
  <si>
    <t>ΝΑΚΟΥ</t>
  </si>
  <si>
    <t>ΑΒ087890</t>
  </si>
  <si>
    <t>ΦΟΥΝΤΟΥΚΗ</t>
  </si>
  <si>
    <t>Σ225926</t>
  </si>
  <si>
    <t>ΧΑΤΖΗΠΑΡΑΣΚΕΥΑ</t>
  </si>
  <si>
    <t>ΜΑΡΙΑ ΙΩΑΝΝΑ</t>
  </si>
  <si>
    <t>ΠΡΟΔΡΟΜΟΣ</t>
  </si>
  <si>
    <t>Φ143854</t>
  </si>
  <si>
    <t>ΚΟΚΚΙΟΥ</t>
  </si>
  <si>
    <t>ΑΝ261491</t>
  </si>
  <si>
    <t>ΚΟΥΤΣΟΥΜΠΕΛΙΤΗ</t>
  </si>
  <si>
    <t>Σ268652</t>
  </si>
  <si>
    <t>ΚΑΡΑΓΚΑΝΗ</t>
  </si>
  <si>
    <t>ΑΙ295211</t>
  </si>
  <si>
    <t>ΖΕΠΠΟΥ</t>
  </si>
  <si>
    <t>Τ415329</t>
  </si>
  <si>
    <t>ΤΣΙΜΠΟΥΚΑΚΗ</t>
  </si>
  <si>
    <t>ΚΛΕΟΠΑΤΡΑ</t>
  </si>
  <si>
    <t>ΑΑ128018</t>
  </si>
  <si>
    <t>ΚΟΥΡΤΙΚΑΚΗ</t>
  </si>
  <si>
    <t>ΑΗ090129</t>
  </si>
  <si>
    <t>ΜΑΓΟΥΛΑ</t>
  </si>
  <si>
    <t>ΑΙ557002</t>
  </si>
  <si>
    <t>ΣΙΟΝΤΗ</t>
  </si>
  <si>
    <t>ΑΒ806012</t>
  </si>
  <si>
    <t>ΑΕ136102</t>
  </si>
  <si>
    <t>ΑΚ787003</t>
  </si>
  <si>
    <t>ΜΠΟΥΤΣΑΡΑΚΗΣ</t>
  </si>
  <si>
    <t>AI464794</t>
  </si>
  <si>
    <t>ΒΟΥΛΓΑΡΙΔΟΥ</t>
  </si>
  <si>
    <t>ΑΗ908299</t>
  </si>
  <si>
    <t>ΚΑΡΑΟΥΛΑΝΗ</t>
  </si>
  <si>
    <t>Σ740190</t>
  </si>
  <si>
    <t>ΚΑΡΔΑΜΥΛΛΑ</t>
  </si>
  <si>
    <t>Χ920537</t>
  </si>
  <si>
    <t>ΚΟΔΕΛΛΑ</t>
  </si>
  <si>
    <t>ΑΜ572550</t>
  </si>
  <si>
    <t>ΦΙΛΙΠΠΟΓΛΟΥ</t>
  </si>
  <si>
    <t>Χ971418</t>
  </si>
  <si>
    <t>ΘΩΜΑΙΔΟΥ</t>
  </si>
  <si>
    <t>ΑΙ397763</t>
  </si>
  <si>
    <t>ΚΑΡΔΑΚΟΥ</t>
  </si>
  <si>
    <t>ΑΙ352961</t>
  </si>
  <si>
    <t>ΕΜΕΡΙΑΝ</t>
  </si>
  <si>
    <t>ΣΑΜΠΡΙΝΑ</t>
  </si>
  <si>
    <t>ΒΑΡΤΕΡΕΣ</t>
  </si>
  <si>
    <t>Χ217129</t>
  </si>
  <si>
    <t>ΚΑΡΑΔΗΜΑ</t>
  </si>
  <si>
    <t>ΑΚ165010</t>
  </si>
  <si>
    <t>ΣΑΜΨΩΝΙΔΟΥ</t>
  </si>
  <si>
    <t>ΑΗ828178</t>
  </si>
  <si>
    <t>Φ352845</t>
  </si>
  <si>
    <t>ΝΑΤΣΙΔΟΥ</t>
  </si>
  <si>
    <t>ΑΖ912028</t>
  </si>
  <si>
    <t>ΜΠΡΟΥΛΙΑ</t>
  </si>
  <si>
    <t>Χ804843</t>
  </si>
  <si>
    <t>ΓΚΟΚΑ</t>
  </si>
  <si>
    <t>Ρ765645</t>
  </si>
  <si>
    <t>Χ599971</t>
  </si>
  <si>
    <t>ΤΣΑΜΑΔΙΑ</t>
  </si>
  <si>
    <t>Ρ232675</t>
  </si>
  <si>
    <t>ΒΑΖΑΚΑ</t>
  </si>
  <si>
    <t>ΕΜΟΡΦΙΑ</t>
  </si>
  <si>
    <t>ΑΕ800260</t>
  </si>
  <si>
    <t>ΤΟΜΠΟΥΛΙΔΟΥ</t>
  </si>
  <si>
    <t>ΑΝ189659</t>
  </si>
  <si>
    <t>ΛΑΠΠΑ</t>
  </si>
  <si>
    <t>Χ374883</t>
  </si>
  <si>
    <t>ΛΑΣΠΑ</t>
  </si>
  <si>
    <t>ΑΗ289922</t>
  </si>
  <si>
    <t>ΚΑΨΑΧΑΤΗ</t>
  </si>
  <si>
    <t>ΧΑΡΙΣ</t>
  </si>
  <si>
    <t>Φ095771</t>
  </si>
  <si>
    <t>ΚΩΣΤΑΜΗ</t>
  </si>
  <si>
    <t>ΑΗ285905</t>
  </si>
  <si>
    <t>ΜΠΟΥΚΗ</t>
  </si>
  <si>
    <t>ΑΟ541764</t>
  </si>
  <si>
    <t>ΑΜ858234</t>
  </si>
  <si>
    <t>ΜΕΡΣΙΝΑ</t>
  </si>
  <si>
    <t>Σ834455</t>
  </si>
  <si>
    <t>ΣΩΤΗΡΟΠΟΥΛΟΥ</t>
  </si>
  <si>
    <t>ΑΖ305187</t>
  </si>
  <si>
    <t>ΑΓΑΠΙΟΥ</t>
  </si>
  <si>
    <t>ΑΝ534274</t>
  </si>
  <si>
    <t>ΘΩΜΑΗ</t>
  </si>
  <si>
    <t>Χ986307</t>
  </si>
  <si>
    <t>ΦΟΥΝΤΟΥΚΟΥ</t>
  </si>
  <si>
    <t>ΑΗ634908</t>
  </si>
  <si>
    <t>ΤΣΟΚΟΛΑ</t>
  </si>
  <si>
    <t>ΑΚ740555</t>
  </si>
  <si>
    <t>ΚΑΜΠΑΚΑΚΗ</t>
  </si>
  <si>
    <t>ΘΕΟΦΑΝΙΑ</t>
  </si>
  <si>
    <t>ΓΚΙΚΑΣ</t>
  </si>
  <si>
    <t>ΑΕ420304</t>
  </si>
  <si>
    <t>ΤΟΥΤΣΗ</t>
  </si>
  <si>
    <t>ΘΕΟΔΩΡ</t>
  </si>
  <si>
    <t>ΑΑ029996</t>
  </si>
  <si>
    <t>ΣΙΟΥΛΗ</t>
  </si>
  <si>
    <t>ΑΗ516957</t>
  </si>
  <si>
    <t>ΜΛΑΔΙΝΟΥ</t>
  </si>
  <si>
    <t>ΑΜΑΡΓΙΑΝΟΥ</t>
  </si>
  <si>
    <t>ΑΗ536120</t>
  </si>
  <si>
    <t>ΑΡΙΣΤΟΣ</t>
  </si>
  <si>
    <t>ΑΙ961047</t>
  </si>
  <si>
    <t>ΤΣΑΚΑΝΙΚΑ</t>
  </si>
  <si>
    <t>ΑΚ660118</t>
  </si>
  <si>
    <t>ΜΠΡΟΔΗΜΑ</t>
  </si>
  <si>
    <t>ΑΚ370682</t>
  </si>
  <si>
    <t>ΑΓΑΘΟΝΙΚΗ</t>
  </si>
  <si>
    <t>ΑΚΟ51642</t>
  </si>
  <si>
    <t>ΙΤΖΜΠΑΡΑ ΒΑΜΒΟΥΚΑΚΗ</t>
  </si>
  <si>
    <t>ΒΑΛΙΑ</t>
  </si>
  <si>
    <t>ΦΕΙΣΑΛ</t>
  </si>
  <si>
    <t>ΑΜ454808</t>
  </si>
  <si>
    <t>ΧΑΤΖΗΒΑΣΙΛΕΙΑΔΟΥ</t>
  </si>
  <si>
    <t>ΑΙ900118</t>
  </si>
  <si>
    <t>ΓΙΟΥΡΤΟΥΜΑ</t>
  </si>
  <si>
    <t>ΑΒ083065</t>
  </si>
  <si>
    <t>ΣΕΡΑΦΕΙΜΙΔΟΥ</t>
  </si>
  <si>
    <t>ΜΑΡΙΑ ΡΑΦΑΕΛΑ</t>
  </si>
  <si>
    <t>ΑΚ907273</t>
  </si>
  <si>
    <t>ΚΑΛΛΙΑΝΟΥ</t>
  </si>
  <si>
    <t>ΑΖ069490</t>
  </si>
  <si>
    <t>ΦΡΑΓΚΙΑ</t>
  </si>
  <si>
    <t>Χ498597</t>
  </si>
  <si>
    <t>ΖΑΓΟΡΙΑΝΟΥ</t>
  </si>
  <si>
    <t>ΑΖ947919</t>
  </si>
  <si>
    <t>ΖΕΡΜΑ</t>
  </si>
  <si>
    <t>Φ291547</t>
  </si>
  <si>
    <t>ΣΙΔΕΡΑΤΟΥ</t>
  </si>
  <si>
    <t>ΔΙΑΜΑΝΤΗΣ</t>
  </si>
  <si>
    <t>ΑΖ593872</t>
  </si>
  <si>
    <t>ΠΑΠΑΔΑΚΗ</t>
  </si>
  <si>
    <t>ΑΗ464919</t>
  </si>
  <si>
    <t>ΚΥΡΙΔΟΥ</t>
  </si>
  <si>
    <t>Χ968395</t>
  </si>
  <si>
    <t>ΑΚ885764</t>
  </si>
  <si>
    <t>ΑΔΕΛΦΙΔΟΥ</t>
  </si>
  <si>
    <t>ΑΕ573364</t>
  </si>
  <si>
    <t>ΠΑΦΛΙΩΤΟΥ</t>
  </si>
  <si>
    <t>ΑΗ364951</t>
  </si>
  <si>
    <t>ΑΛΕΞΑΚΗ</t>
  </si>
  <si>
    <t>Χ153012</t>
  </si>
  <si>
    <t>ΠΕΧΛΙΒΑΝΙΔΟΥ</t>
  </si>
  <si>
    <t>Χ819634</t>
  </si>
  <si>
    <t>Φ029100</t>
  </si>
  <si>
    <t>ΦΟΥΡΚΙΩΤΗ</t>
  </si>
  <si>
    <t>Φ276444</t>
  </si>
  <si>
    <t>ΜΟΥΡΑΤΙΔΟΥ</t>
  </si>
  <si>
    <t>ΑΝ351932</t>
  </si>
  <si>
    <t>ΚΑΜΠΟΥΡΙΔΟΥ</t>
  </si>
  <si>
    <t>ΑΒ913345</t>
  </si>
  <si>
    <t>ΤΟΣΚΙΔΟΥ</t>
  </si>
  <si>
    <t>ΦΛΩΡΟΣ</t>
  </si>
  <si>
    <t>ΑΗ671745</t>
  </si>
  <si>
    <t>ΓΙΑΒΗ</t>
  </si>
  <si>
    <t>ΜΑΡΓΑΡΙΤΑ ΜΑΡΙΑ</t>
  </si>
  <si>
    <t>ΑΟ534181</t>
  </si>
  <si>
    <t>ΠΑΝΑΚΟΥΛΙΑ</t>
  </si>
  <si>
    <t>ΑΜ163685</t>
  </si>
  <si>
    <t>ΑΝΔΡΕΟΠΟΥΛΟΥ</t>
  </si>
  <si>
    <t>Ν538769</t>
  </si>
  <si>
    <t>ΔΗΜΗΤΡΑΚΑΚΗ</t>
  </si>
  <si>
    <t>NTINA</t>
  </si>
  <si>
    <t>Ρ231138</t>
  </si>
  <si>
    <t>ΛΕΓΑΚΗ</t>
  </si>
  <si>
    <t>ΑΗ139310</t>
  </si>
  <si>
    <t>ΒΕΛΙΣΣΑΡΟΠΟΥΛΟΥ</t>
  </si>
  <si>
    <t>ΒΑΣΊΛΕΙΟΣ</t>
  </si>
  <si>
    <t>ΑΒ234668</t>
  </si>
  <si>
    <t>ΦΡΑΓΚΙΑΔΑΚΗ</t>
  </si>
  <si>
    <t>ΑΟ438767</t>
  </si>
  <si>
    <t>ΦΑΚΟΠΟΥΛΙΔΟΥ</t>
  </si>
  <si>
    <t>ΑΗ470721</t>
  </si>
  <si>
    <t>ΑΒ979974</t>
  </si>
  <si>
    <t>ΠΑΠΑΚΩΝΣΤΑΝΤΙΝΟΥ</t>
  </si>
  <si>
    <t>ΑΗ847016</t>
  </si>
  <si>
    <t>ΠΑΣΧΑΛΙΔΟΥ</t>
  </si>
  <si>
    <t>ΑΗ889087</t>
  </si>
  <si>
    <t>ΒΑΒΙΤΣΑ</t>
  </si>
  <si>
    <t>ΑΙ416931</t>
  </si>
  <si>
    <t>ΜΠΑΚΙΡΛΗ</t>
  </si>
  <si>
    <t>ΑΙ199025</t>
  </si>
  <si>
    <t>ΛΙΟΝΑΚΗ</t>
  </si>
  <si>
    <t>AB489228</t>
  </si>
  <si>
    <t>ΔΑΓΑΛΑΚΗ</t>
  </si>
  <si>
    <t>ΑΝ931584</t>
  </si>
  <si>
    <t>ΓΟΥΣΙΟΥ</t>
  </si>
  <si>
    <t>ΑΙ297904</t>
  </si>
  <si>
    <t>ΑΗ118488</t>
  </si>
  <si>
    <t>ΣΕΙΝΤΟΠΟΥΛΟΥ</t>
  </si>
  <si>
    <t>Σ397977</t>
  </si>
  <si>
    <t>ΛΕΒΕΝΤΑΚΗ</t>
  </si>
  <si>
    <t>ΑΙ152277</t>
  </si>
  <si>
    <t>ΑΗ289718</t>
  </si>
  <si>
    <t>ΤΣΙΓΑΡΙΔΑ</t>
  </si>
  <si>
    <t>ΑΒ053370</t>
  </si>
  <si>
    <t>ΧΑΤΖΗΑΡΓΥΡΙΟΥ</t>
  </si>
  <si>
    <t>ΑΑ438582</t>
  </si>
  <si>
    <t>ΑΕ405646</t>
  </si>
  <si>
    <t>ΜΑΡΙΝΗ</t>
  </si>
  <si>
    <t>ΑΒ047317</t>
  </si>
  <si>
    <t>ΛΙΑΠΗ</t>
  </si>
  <si>
    <t>ΑΜ548754</t>
  </si>
  <si>
    <t>ΜΑΡΟΥΛΗ</t>
  </si>
  <si>
    <t>Ρ233067</t>
  </si>
  <si>
    <t>ΒΑΣΙΛΕΙΑΔΟΥ</t>
  </si>
  <si>
    <t>ΑΑ284145</t>
  </si>
  <si>
    <t xml:space="preserve">ΠΙΠΕΡΙΔΟΥ </t>
  </si>
  <si>
    <t>ΑΚ940258</t>
  </si>
  <si>
    <t>ΣΤΡΑΤΙΚΗ</t>
  </si>
  <si>
    <t>ΠΕΡΙΚΛΗΣ</t>
  </si>
  <si>
    <t>Ξ724562</t>
  </si>
  <si>
    <t>ΖΕΦΗ</t>
  </si>
  <si>
    <t>ΓΙΟΛΑΝΤΑ</t>
  </si>
  <si>
    <t>ΑΝΤΩΝ</t>
  </si>
  <si>
    <t>ΑΝ160543</t>
  </si>
  <si>
    <t>ΜΠΑΤΖΙΑΚΑ</t>
  </si>
  <si>
    <t>ΑΒ427303</t>
  </si>
  <si>
    <t>ΚΑΡΑΓΙΩΡΓΟΥ</t>
  </si>
  <si>
    <t>ΑΕ358474</t>
  </si>
  <si>
    <t>ΒΑΛΕΝΤΙΝΑ</t>
  </si>
  <si>
    <t>ΑΕ817481</t>
  </si>
  <si>
    <t>Σ345043</t>
  </si>
  <si>
    <t>ΣΚΟΥΝΤΖΟΥ</t>
  </si>
  <si>
    <t>ΑΡ363029</t>
  </si>
  <si>
    <t>ΠΑΝΑΓΙΩΤΟΠΟΥΛΟΥ</t>
  </si>
  <si>
    <t>ΑΜ342620</t>
  </si>
  <si>
    <t>ΓΥΦΤΟΓΙΑΝΝΗ</t>
  </si>
  <si>
    <t>ΑΜ153663</t>
  </si>
  <si>
    <t>ΚΥΡΤΑΣΟΓΛΟΥ</t>
  </si>
  <si>
    <t>ΑΗ353980</t>
  </si>
  <si>
    <t>ΣΥΚΑ</t>
  </si>
  <si>
    <t>ΑΒ452569</t>
  </si>
  <si>
    <t>ΑΒ987323</t>
  </si>
  <si>
    <t>ΧΑΣΟΠΟΥΛΟΥ</t>
  </si>
  <si>
    <t>ΑΙ334001</t>
  </si>
  <si>
    <t>ΚΑΤΡΙΔΟΥ</t>
  </si>
  <si>
    <t>ΑΗ887681</t>
  </si>
  <si>
    <t>ΓΚΑΙΤΑΤΖΗ</t>
  </si>
  <si>
    <t>ΣΕΒΑΣΤΙΑΝΗ</t>
  </si>
  <si>
    <t>ΑΧΙΛΛΕYΣ</t>
  </si>
  <si>
    <t>ΑΖ651864</t>
  </si>
  <si>
    <t>ΓΩΓΟΥΒΙΤΟΥ</t>
  </si>
  <si>
    <t>Ρ898539</t>
  </si>
  <si>
    <t>ΑΖ222865</t>
  </si>
  <si>
    <t>ΚΥΣΣΙΔΟΥ</t>
  </si>
  <si>
    <t>ΑΡΙΣΤΟΚΛΕΙΑ</t>
  </si>
  <si>
    <t>ΑΗ393981</t>
  </si>
  <si>
    <t>ΖΑΡΧΑΝΗ</t>
  </si>
  <si>
    <t>ΑΒ854546</t>
  </si>
  <si>
    <t>ΠΟΥΤΣΗ</t>
  </si>
  <si>
    <t>ΛΑΖΟ</t>
  </si>
  <si>
    <t>ΑΚ828771</t>
  </si>
  <si>
    <t>ΜΙΧΑ</t>
  </si>
  <si>
    <t>ΑΡΤΑ</t>
  </si>
  <si>
    <t>ΑΖ633841</t>
  </si>
  <si>
    <t>ΓΕΩΡΓΙΛΑ</t>
  </si>
  <si>
    <t>ΑΝ209404</t>
  </si>
  <si>
    <t>ΚΑΛΑΙΤΖΗ</t>
  </si>
  <si>
    <t>ΑΖ831014</t>
  </si>
  <si>
    <t>Φ485038</t>
  </si>
  <si>
    <t>ΑΒΤΖΙΔΟΥ</t>
  </si>
  <si>
    <t>ΑΙ169488</t>
  </si>
  <si>
    <t>ΣΑΧΠΑΤΖΙΔΟΥ</t>
  </si>
  <si>
    <t>ΑΒ433942</t>
  </si>
  <si>
    <t>ΑΚ670518</t>
  </si>
  <si>
    <t>ΔΟΜΝΑ ΡΑΦΑΗΛΙΑ</t>
  </si>
  <si>
    <t>ΑΟ689624</t>
  </si>
  <si>
    <t>ΓΑΛΑΤΑ</t>
  </si>
  <si>
    <t>ΑΟ202171</t>
  </si>
  <si>
    <t>ΤΑΡΑΝΤΙΛΗ</t>
  </si>
  <si>
    <t>ΑΟ983812</t>
  </si>
  <si>
    <t>ΚΟΛΛΙΑ</t>
  </si>
  <si>
    <t>ΑΚ369755</t>
  </si>
  <si>
    <t>ΝΕΡΑΝΤΖΙΝΗ</t>
  </si>
  <si>
    <t>ΑΚ009648</t>
  </si>
  <si>
    <t>ΔΡΑΚΩΤΟΥ</t>
  </si>
  <si>
    <t>Φ060613</t>
  </si>
  <si>
    <t>ΜΑΝΩΛΑΚΑΚΗ</t>
  </si>
  <si>
    <t>ΟΔΥΣΣΕΑΣ</t>
  </si>
  <si>
    <t>ΑΚ745096</t>
  </si>
  <si>
    <t>ΜΠΙΤΧΑΒΑ</t>
  </si>
  <si>
    <t>ΓΙΑΝΝΗΣ</t>
  </si>
  <si>
    <t>Τ341409</t>
  </si>
  <si>
    <t>ΚΑΤΣΟΥΛΗΣ</t>
  </si>
  <si>
    <t>ΑΗ557553</t>
  </si>
  <si>
    <t>Χ800751</t>
  </si>
  <si>
    <t>ΓΙΟΒΑΝΟΥ</t>
  </si>
  <si>
    <t>Σ531565</t>
  </si>
  <si>
    <t>ΦΑΛΙΔΑ</t>
  </si>
  <si>
    <t>ΑΙ512839</t>
  </si>
  <si>
    <t>ΒΕΛΩΚΑ</t>
  </si>
  <si>
    <t>ΑΖ122735</t>
  </si>
  <si>
    <t>ΓΟΥΡΓΙΩΤΗ</t>
  </si>
  <si>
    <t>ΚΛΕΟΝΙΚΗ</t>
  </si>
  <si>
    <t>Ρ391544</t>
  </si>
  <si>
    <t>ΓΡΟΠΑΛΗΣ</t>
  </si>
  <si>
    <t>ΑΕ837221</t>
  </si>
  <si>
    <t>ΦΡΑΓΓΙΔΟΥ</t>
  </si>
  <si>
    <t>ΑΝΝΑ ΑΝΤΩΝΙΑ</t>
  </si>
  <si>
    <t>ΑΜ710052</t>
  </si>
  <si>
    <t>ΜΠΑΜΠΛΕΚΗ</t>
  </si>
  <si>
    <t>ΑΗ284650</t>
  </si>
  <si>
    <t>ΚΑΤΣΑΟΥΝΗ</t>
  </si>
  <si>
    <t>ΑΜ323363</t>
  </si>
  <si>
    <t>ΚΩΝΣΤΑΝΤΟΠΟΥΛΟΥ</t>
  </si>
  <si>
    <t>ΑΗ730959</t>
  </si>
  <si>
    <t>ΝΤΩΝΑ</t>
  </si>
  <si>
    <t>ΑΕ821780</t>
  </si>
  <si>
    <t>ΑΒ722589</t>
  </si>
  <si>
    <t>ΤΣΑΜΟΥΡΤΖΗ</t>
  </si>
  <si>
    <t>AΝΑΣΤΑΣΙΑ</t>
  </si>
  <si>
    <t>ΑΒ434978</t>
  </si>
  <si>
    <t>ΠΕΤΤΑ</t>
  </si>
  <si>
    <t>ΑΙ277308</t>
  </si>
  <si>
    <t>ΚΟΣΣΥΒΑΚΗ</t>
  </si>
  <si>
    <t>ΡΟΥΜΠΙΝΗ ΧΡΙΣΤΙΝΑ</t>
  </si>
  <si>
    <t>ΑΖ222606</t>
  </si>
  <si>
    <t>ΚΑΡΑΔΗΜΟΥ</t>
  </si>
  <si>
    <t>ΑΜ696495</t>
  </si>
  <si>
    <t>ΚΑΛΟΓΙΑΝΝΙΔΟΥ</t>
  </si>
  <si>
    <t>ΑΖ389062</t>
  </si>
  <si>
    <t>ΑΕ822913</t>
  </si>
  <si>
    <t>ΚΑΤΙΓΚΑΡΙΔΟΥ</t>
  </si>
  <si>
    <t>ΑΝ847060</t>
  </si>
  <si>
    <t>ΧΑΡΑΚΛΙΑ</t>
  </si>
  <si>
    <t>ΑΝ067099</t>
  </si>
  <si>
    <t>ΑΗ112159</t>
  </si>
  <si>
    <t>ΤΑΙΓΑΝΙΔΟΥ</t>
  </si>
  <si>
    <t>ΑΖ289419</t>
  </si>
  <si>
    <t>ΑΕ409619</t>
  </si>
  <si>
    <t>ΚΑΡΥΔΟΠΟΥΛΟΥ</t>
  </si>
  <si>
    <t>ΑΚ414297</t>
  </si>
  <si>
    <t>ΑΜ251652</t>
  </si>
  <si>
    <t>ΜΑΘΙΟΥΔΗ</t>
  </si>
  <si>
    <t>ΑΗ936531</t>
  </si>
  <si>
    <t>ΚΟΥΤΣΟΥΝΗ</t>
  </si>
  <si>
    <t>ΘΕΚΛΑ</t>
  </si>
  <si>
    <t>Τ845059</t>
  </si>
  <si>
    <t>ΚΟΥΤΡΟΛΟΥ</t>
  </si>
  <si>
    <t>ΑΙ816271</t>
  </si>
  <si>
    <t>ΒΟΥΓΚΑ</t>
  </si>
  <si>
    <t>ΑΝ097654</t>
  </si>
  <si>
    <t>ΑΕ227167</t>
  </si>
  <si>
    <t>ΜΑΡΚΟΥ</t>
  </si>
  <si>
    <t>ΕΡΜΕΛΙΝΤΑ</t>
  </si>
  <si>
    <t>ΤΟΝΙΝ</t>
  </si>
  <si>
    <t>ΑΟ059222</t>
  </si>
  <si>
    <t>ΖΩΓΡΑΦΟΥ ΑΘΑΝΑΣΑΚΗ</t>
  </si>
  <si>
    <t>ΑΖ772255</t>
  </si>
  <si>
    <t>ΖΩΡΖΟΥ</t>
  </si>
  <si>
    <t>Σ112559</t>
  </si>
  <si>
    <t>ΠΟΛΥΔΩΡΑ</t>
  </si>
  <si>
    <t>ΑΜ026052</t>
  </si>
  <si>
    <t>ΣΧΙΖΑ</t>
  </si>
  <si>
    <t>ΑΝ069481</t>
  </si>
  <si>
    <t>ΜΙΧΑΛΕΜΠΑΣΗ</t>
  </si>
  <si>
    <t>Π760814</t>
  </si>
  <si>
    <t>ΧΥΣΚΑ</t>
  </si>
  <si>
    <t>ΡΕΒΙΑΝΑ</t>
  </si>
  <si>
    <t>ΣΠΥΡΟ</t>
  </si>
  <si>
    <t>ΑΚ283120</t>
  </si>
  <si>
    <t>ΔΗΜΗΤΡΙΑΔΟΥ</t>
  </si>
  <si>
    <t>ΑΙ151376</t>
  </si>
  <si>
    <t>ΔΕΦΙΓΓΟΥ</t>
  </si>
  <si>
    <t>ΑΜ286525</t>
  </si>
  <si>
    <t>Μ556461</t>
  </si>
  <si>
    <t>ΠΕΤΣΑ</t>
  </si>
  <si>
    <t>ΑΕ041494</t>
  </si>
  <si>
    <t>ΒΑΡΣΑΜΙΔΟΥ</t>
  </si>
  <si>
    <t>ΚΟΜΝΗΝΟΣ</t>
  </si>
  <si>
    <t>ΑΖ912195</t>
  </si>
  <si>
    <t>ΜΙΣΤΙΛΙΔΟΥ</t>
  </si>
  <si>
    <t>ΑΕ824284</t>
  </si>
  <si>
    <t>ΤΖΟΥΜΑ</t>
  </si>
  <si>
    <t>ΦΕΙΔΕΡΙΚΗ</t>
  </si>
  <si>
    <t>ΑΒ164867</t>
  </si>
  <si>
    <t>ΜΟΣΧΟΠΟΥΛΟΥ</t>
  </si>
  <si>
    <t>ΑΚ921286</t>
  </si>
  <si>
    <t>ΑΖ769205</t>
  </si>
  <si>
    <t>ΑΡΕΘΑ</t>
  </si>
  <si>
    <t>ΣΥΡΑΙΝΑ</t>
  </si>
  <si>
    <t>ΑΙ854415</t>
  </si>
  <si>
    <t>ΜΑΚΑΡΙΟΥ</t>
  </si>
  <si>
    <t>ΑΡ331775</t>
  </si>
  <si>
    <t>ΒΑΡΔΑΛΑ</t>
  </si>
  <si>
    <t>ΑΒ211674</t>
  </si>
  <si>
    <t>ΜΟΣΧΑ</t>
  </si>
  <si>
    <t>Ξ524783</t>
  </si>
  <si>
    <t>ΣΑΓΙΑΝΝΗ</t>
  </si>
  <si>
    <t>ΑΚ017848</t>
  </si>
  <si>
    <t>ΑΜ620831</t>
  </si>
  <si>
    <t>ΜΠΑΡΔΑΚΑ</t>
  </si>
  <si>
    <t>ΑΖ283474</t>
  </si>
  <si>
    <t>ΠΑΛΟΥΚΗ</t>
  </si>
  <si>
    <t>ΑΒ115428</t>
  </si>
  <si>
    <t>ΤΕΑ</t>
  </si>
  <si>
    <t>ΔΙΑΜΑΝΤΩ ΑΛΕΞΑΝΔΡΑ</t>
  </si>
  <si>
    <t>ΑΟ945831</t>
  </si>
  <si>
    <t>ΤΑΡΣΗ</t>
  </si>
  <si>
    <t>ΑΑ468160</t>
  </si>
  <si>
    <t>ΠΑΤΟΥΡΑ</t>
  </si>
  <si>
    <t>ΑΝ543525</t>
  </si>
  <si>
    <t>ΚΑΒΑΣΗ</t>
  </si>
  <si>
    <t>ΑΟ205897</t>
  </si>
  <si>
    <t>ΚΡΙΘΑΡΗ ΧΑΤΖΗΔΑΚΗ</t>
  </si>
  <si>
    <t>ΑΝΝΑ ΙΩΑΝΝΑ</t>
  </si>
  <si>
    <t>ΑΝ582091</t>
  </si>
  <si>
    <t>ΡΟΔΙΤΗ</t>
  </si>
  <si>
    <t>ΑΟ037096</t>
  </si>
  <si>
    <t>ΑΙ777195</t>
  </si>
  <si>
    <t>ΛΟΞΟΠΟΥΛΟΥ</t>
  </si>
  <si>
    <t>ΑΜ227149</t>
  </si>
  <si>
    <t>ΑΔΑΜ</t>
  </si>
  <si>
    <t>ΡΟΥΛΑ</t>
  </si>
  <si>
    <t>ΑΟ806693</t>
  </si>
  <si>
    <t>ΒΟΥΡΔΟΥΝΗ</t>
  </si>
  <si>
    <t>ΑΝ886212</t>
  </si>
  <si>
    <t>ΖΑΧΑΡΑΚΗ</t>
  </si>
  <si>
    <t>ΑΟ296176</t>
  </si>
  <si>
    <t>ΜΑΥΡΟΥΔΗ</t>
  </si>
  <si>
    <t>ΑΟ683641</t>
  </si>
  <si>
    <t>ΣΚΙΑΔΑ</t>
  </si>
  <si>
    <t>ΑΖ709714</t>
  </si>
  <si>
    <t>ΑΟ202274</t>
  </si>
  <si>
    <t>ΠΡΟΔΡΟΜΟΥ</t>
  </si>
  <si>
    <t>ΑΓΓΕΛΙΚΗ ΒΑΣΙΛΙΚΗ</t>
  </si>
  <si>
    <t>ΑΕ595893</t>
  </si>
  <si>
    <t>ΜΠΟΥΡΑ</t>
  </si>
  <si>
    <t>ΑΜ010927</t>
  </si>
  <si>
    <t>ΤΣΟΠΕΛΑ ΤΣΟΥΦΗ</t>
  </si>
  <si>
    <t>ΑΝ338035</t>
  </si>
  <si>
    <t>Φ488394</t>
  </si>
  <si>
    <t>ΕΥΑΓΓΕΛΟΥ</t>
  </si>
  <si>
    <t>ΦΩΤΕΙΝΗ ΜΑΡΙΑ</t>
  </si>
  <si>
    <t>ΑΙ931697</t>
  </si>
  <si>
    <t>ΚΑΡΛΕ</t>
  </si>
  <si>
    <t>ΑΒ013524</t>
  </si>
  <si>
    <t>ΚΑΣΙΔΕΡΟΠΟΥΛΟΥ</t>
  </si>
  <si>
    <t>ΑΝ742083</t>
  </si>
  <si>
    <t>ΧΑΡΙΟΠΟΛΙΤΟΥ</t>
  </si>
  <si>
    <t>ΑΟ909369</t>
  </si>
  <si>
    <t>ΝΙΩΤΗ</t>
  </si>
  <si>
    <t>ΑΝ180624</t>
  </si>
  <si>
    <t>ΠΑΤΕΛΗ</t>
  </si>
  <si>
    <t>ΑΑ120036</t>
  </si>
  <si>
    <t>ΝΑΤΣΙΟΠΟΥΛΟΣ</t>
  </si>
  <si>
    <t>ΑΜ716233</t>
  </si>
  <si>
    <t>ΑΟ406946</t>
  </si>
  <si>
    <t>ΑΑ283248</t>
  </si>
  <si>
    <t>ΤΣΟΥΧΑ</t>
  </si>
  <si>
    <t>ΑΡΙΑΔΝΗ</t>
  </si>
  <si>
    <t>ΑΖ873768</t>
  </si>
  <si>
    <t>ΣΥΜΩΝΗ</t>
  </si>
  <si>
    <t>ΑΕ353424</t>
  </si>
  <si>
    <t>ΜΗΝΑ</t>
  </si>
  <si>
    <t>ΠΙΛΑΤΩΝ</t>
  </si>
  <si>
    <t>ΑΑ277459</t>
  </si>
  <si>
    <t>ΚΑΤΣΙΜΗΤΡΟΥ</t>
  </si>
  <si>
    <t>Χ982813</t>
  </si>
  <si>
    <t>ΓΚΑΓΚΑ</t>
  </si>
  <si>
    <t>ΑΕ312401</t>
  </si>
  <si>
    <t>ΤΙΝΑ ΚΩΝΣΤΑΝΤΙΝΑ</t>
  </si>
  <si>
    <t>ΑΑ490555</t>
  </si>
  <si>
    <t>ΣΟΥΡΡΗ</t>
  </si>
  <si>
    <t>Χ090343</t>
  </si>
  <si>
    <t>Χ405388</t>
  </si>
  <si>
    <t>ΠΑΛΑΝΤΖΑ</t>
  </si>
  <si>
    <t>ΑΗ273878</t>
  </si>
  <si>
    <t>Π982653</t>
  </si>
  <si>
    <t>ΑΒ442739</t>
  </si>
  <si>
    <t>ΜΠΕΛΛΑ</t>
  </si>
  <si>
    <t>ΑΕ332157</t>
  </si>
  <si>
    <t>ΜΠΡΑΕΣΣΑ</t>
  </si>
  <si>
    <t>ΑΚ101702</t>
  </si>
  <si>
    <t>ΜΩΡΑΙΤΗ</t>
  </si>
  <si>
    <t>ΜΑΤΘΑΙΟΣ</t>
  </si>
  <si>
    <t>ΑΗ992171</t>
  </si>
  <si>
    <t>ΑΟ928152</t>
  </si>
  <si>
    <t>ΒΡΑΖΙΩΤΗ</t>
  </si>
  <si>
    <t>ΑΗ270976</t>
  </si>
  <si>
    <t>ΚΟΥΚΟΥΛΑΚΗ</t>
  </si>
  <si>
    <t>ΜΙΧΑΛΗΣ</t>
  </si>
  <si>
    <t>ΑΒ877753</t>
  </si>
  <si>
    <t>ΤΟΚΑΤΛΙΔΟΥ</t>
  </si>
  <si>
    <t>ΑΗ299030</t>
  </si>
  <si>
    <t>ΓΙΑΝΝΕΛΟΥ</t>
  </si>
  <si>
    <t>ΑΚ387603</t>
  </si>
  <si>
    <t>ΑΖ711000</t>
  </si>
  <si>
    <t>ΦΡΑΓΚΟΥΛΗ</t>
  </si>
  <si>
    <t>ΕΛΕΝΑ</t>
  </si>
  <si>
    <t>ΑΖ112711</t>
  </si>
  <si>
    <t>ΜΑΚΡΕΛΗ</t>
  </si>
  <si>
    <t>ΕΡΜΟΛΑΟΣ</t>
  </si>
  <si>
    <t>Χ158173</t>
  </si>
  <si>
    <t>ΚΥΡΙΑΖΗ</t>
  </si>
  <si>
    <t>ΑΕ253685</t>
  </si>
  <si>
    <t>ΤΣΑΛΜΠΟΥΡΗ</t>
  </si>
  <si>
    <t>ΑΖ306367</t>
  </si>
  <si>
    <t>ΠΟΥΝΑΡΤΖΗ</t>
  </si>
  <si>
    <t>ΑΝ419185</t>
  </si>
  <si>
    <t>ΣΕΜΕΛΙΔΟΥ</t>
  </si>
  <si>
    <t>ΑΟ956092</t>
  </si>
  <si>
    <t>ΑΝ377303</t>
  </si>
  <si>
    <t>ΚΥΡΓΙΔΟΥ</t>
  </si>
  <si>
    <t>Χ443501</t>
  </si>
  <si>
    <t>ΔΟΥΣΜΑΝΗ</t>
  </si>
  <si>
    <t>ΡΕΒΕΚΚΑ</t>
  </si>
  <si>
    <t>ΑΖ972876</t>
  </si>
  <si>
    <t>ΧΑΒΙΑΡΑ</t>
  </si>
  <si>
    <t>ΛΕΟΝΤΙΟΣ</t>
  </si>
  <si>
    <t>ΑΕ935514</t>
  </si>
  <si>
    <t>ΣΚΟΥΤΕΛΑ</t>
  </si>
  <si>
    <t>ΑΙ325631</t>
  </si>
  <si>
    <t>ΤΟΥΡΝΙΚΙΩΤΗ</t>
  </si>
  <si>
    <t>Χ794305</t>
  </si>
  <si>
    <t>ΚΑΛΥΜΝΙΟΥ</t>
  </si>
  <si>
    <t>ΑΟ263575</t>
  </si>
  <si>
    <t>ΠΑΠΑΔΕΑ</t>
  </si>
  <si>
    <t>ΑΒ509630</t>
  </si>
  <si>
    <t>ΑΔΡΑΜΗ</t>
  </si>
  <si>
    <t>ΝΙΚΗΣΤΡΑΤΟΣ</t>
  </si>
  <si>
    <t>Α0513094</t>
  </si>
  <si>
    <t>ΚΥΡΟΥ</t>
  </si>
  <si>
    <t>ΑΜ398600</t>
  </si>
  <si>
    <t>ΓΚΟΥΓΚΟΥΔΗ</t>
  </si>
  <si>
    <t>ΑΟ224363</t>
  </si>
  <si>
    <t>ΣΠΥΡΟΥ</t>
  </si>
  <si>
    <t>ΑΒ098395</t>
  </si>
  <si>
    <t>ΣΑΜΑΡΙΝΑ</t>
  </si>
  <si>
    <t>Ξ863294</t>
  </si>
  <si>
    <t>ΚΙΚΙΔΗ</t>
  </si>
  <si>
    <t>Χ610289</t>
  </si>
  <si>
    <t>ΜΟΥΖΑΚΙΤΗ</t>
  </si>
  <si>
    <t>ΑΖ131481</t>
  </si>
  <si>
    <t>ΑΝΤΩΝΙΑΔΟΥ</t>
  </si>
  <si>
    <t>Φ040417</t>
  </si>
  <si>
    <t>ΟΥΖΟΥΝΗ</t>
  </si>
  <si>
    <t>ΑΝ700572</t>
  </si>
  <si>
    <t>ΑΖ673175</t>
  </si>
  <si>
    <t>ΜΕΝΕΞΑΚΗ</t>
  </si>
  <si>
    <t>ΑΑ271859</t>
  </si>
  <si>
    <t>ΠΑΠΑΣΤΑΘΟΠΟΥΛΟΥ</t>
  </si>
  <si>
    <t>ΙΤΙΑ</t>
  </si>
  <si>
    <t>ΑΝ648087</t>
  </si>
  <si>
    <t>ΚΟΥΦΑΚΗ</t>
  </si>
  <si>
    <t>ΜΥΡΣΙΝΗ</t>
  </si>
  <si>
    <t>ΑΕ933887</t>
  </si>
  <si>
    <t>ΑΚ490360</t>
  </si>
  <si>
    <t>ΠΕΡΣΕΦΟΝΗ</t>
  </si>
  <si>
    <t>Χ914100</t>
  </si>
  <si>
    <t>ΑΚ353483</t>
  </si>
  <si>
    <t>ΜΑΡΚΙΔΟΥ</t>
  </si>
  <si>
    <t>ΑΗ696095</t>
  </si>
  <si>
    <t>ΧΡΥΣΑΝΘΙΔΟΥ</t>
  </si>
  <si>
    <t>ΑΑ869287</t>
  </si>
  <si>
    <t>ΜΠΟΥΚΟΥ</t>
  </si>
  <si>
    <t>ΑΗ792517</t>
  </si>
  <si>
    <t>ΚΟΚΚΙΝΟΠΛΙΤΗ</t>
  </si>
  <si>
    <t>ΑΗ320959</t>
  </si>
  <si>
    <t>ΜΙΚΡΟΥ</t>
  </si>
  <si>
    <t>ΑΟ239230</t>
  </si>
  <si>
    <t>ΑΙ581045</t>
  </si>
  <si>
    <t>ΚΑΛΟΓΙΑΝΝΗ</t>
  </si>
  <si>
    <t>ΝΙΟΒΗ</t>
  </si>
  <si>
    <t>ΑΚ291585</t>
  </si>
  <si>
    <t>ΧΑΛΗ</t>
  </si>
  <si>
    <t>ΑΚ107579</t>
  </si>
  <si>
    <t>ΡΟΥΜΟΓΛΟΥ</t>
  </si>
  <si>
    <t>ΑΗ925020</t>
  </si>
  <si>
    <t>ΣΥΡΟΠΟΥΛΟΥ</t>
  </si>
  <si>
    <t>ΑΖ821348</t>
  </si>
  <si>
    <t>ΑΝ123921</t>
  </si>
  <si>
    <t>Ρ 160645</t>
  </si>
  <si>
    <t>ΑΝΔΡΕΑΔΑΚΗ</t>
  </si>
  <si>
    <t>ΕΛΛΗ</t>
  </si>
  <si>
    <t>Ρ830160</t>
  </si>
  <si>
    <t>ΑΝ855637</t>
  </si>
  <si>
    <t>ΔΗΜΟΥΛΑ</t>
  </si>
  <si>
    <t>ΑΙ852386</t>
  </si>
  <si>
    <t>ΚΑΠΑΓΕΡΙΔΟΥ</t>
  </si>
  <si>
    <t>ΑΝ757030</t>
  </si>
  <si>
    <t>ΠΑΡΤΣΑΛΑ</t>
  </si>
  <si>
    <t>ΑΚ958623</t>
  </si>
  <si>
    <t>ΑΜ300173</t>
  </si>
  <si>
    <t>ΠΑΠΑΜΗΝΑ</t>
  </si>
  <si>
    <t>ΑΜ276877</t>
  </si>
  <si>
    <t>ΣΠΑΝΟΛΙΟΥ</t>
  </si>
  <si>
    <t>ΙΣΙΔΩΡΟΣ</t>
  </si>
  <si>
    <t>ΑΗ936334</t>
  </si>
  <si>
    <t>ΑΖ152870</t>
  </si>
  <si>
    <t>ΧΥΔΙΡΟΓΛΟΥ</t>
  </si>
  <si>
    <t>ΑΗ549509</t>
  </si>
  <si>
    <t>ΠΟΥΛΙΟΥ</t>
  </si>
  <si>
    <t>ΑΕ551280</t>
  </si>
  <si>
    <t>ΑΕ748190</t>
  </si>
  <si>
    <t>ΦΩΤΟΥ</t>
  </si>
  <si>
    <t>ΗΣΑΙΑ</t>
  </si>
  <si>
    <t>ΑΗ654710</t>
  </si>
  <si>
    <t>ΛΟΥΔΑ</t>
  </si>
  <si>
    <t>ΑΙ872001</t>
  </si>
  <si>
    <t>ΤΣΙΩΡΟΥ</t>
  </si>
  <si>
    <t>Π441095</t>
  </si>
  <si>
    <t>ΓΙΑΤΡΟΥΔΑΚΗ</t>
  </si>
  <si>
    <t>ΑΑ132082</t>
  </si>
  <si>
    <t>ΛΟΥΝΤΖΗ</t>
  </si>
  <si>
    <t>ΑΒ338149</t>
  </si>
  <si>
    <t>ΠΑΣΤΙΔΗ</t>
  </si>
  <si>
    <t>ΚΩΝΣΤΑΝΤΙΝΟΣ ΔΙΑΜΑΝΤ</t>
  </si>
  <si>
    <t>ΑΝ159345</t>
  </si>
  <si>
    <t>ΚΥΡΙΑΚΟΥ</t>
  </si>
  <si>
    <t>ΑΟ025535</t>
  </si>
  <si>
    <t>ΜΑΣΤΡΟΝΙΚΟΛΑ</t>
  </si>
  <si>
    <t>Χ007441</t>
  </si>
  <si>
    <t>ΑΖ624304</t>
  </si>
  <si>
    <t>ΜΠΕΤΣΟΥ</t>
  </si>
  <si>
    <t>Π452604</t>
  </si>
  <si>
    <t>ΝΤΟΛΑΤΖΑ</t>
  </si>
  <si>
    <t>Σ025767</t>
  </si>
  <si>
    <t>ΧΑΤΖΗΣΙΔΕΡΗ</t>
  </si>
  <si>
    <t>Φ091045</t>
  </si>
  <si>
    <t>ΕΛΕΥΘΕΡΙΑΔΟΥ</t>
  </si>
  <si>
    <t>ΑΖ893776</t>
  </si>
  <si>
    <t>ΟΙΚΟΝΟΜΙΔΟΥ</t>
  </si>
  <si>
    <t>Χ340477</t>
  </si>
  <si>
    <t>ΑΚ450969</t>
  </si>
  <si>
    <t>ΚΑΡΔΑΡΑ</t>
  </si>
  <si>
    <t>ΙΓΝΑΤΙΟΣ</t>
  </si>
  <si>
    <t>ΑΗ214518</t>
  </si>
  <si>
    <t>ΚΡΕΜΜΥΔΑ</t>
  </si>
  <si>
    <t>ΑΜ694739</t>
  </si>
  <si>
    <t>ΤΟΥΤΣΙΔΟΥ</t>
  </si>
  <si>
    <t>ΑΝΝΙΚΑ</t>
  </si>
  <si>
    <t>ΑΒ926835</t>
  </si>
  <si>
    <t>ΜΑΥΡΑΚΗ</t>
  </si>
  <si>
    <t>Ν141638</t>
  </si>
  <si>
    <t>ΚΑΠΟΔΙΣΤΡΙΑ</t>
  </si>
  <si>
    <t>ΑΒ427553</t>
  </si>
  <si>
    <t>ΠΟΥΠΟΥΡΑ</t>
  </si>
  <si>
    <t>ΜΑΡΙΑ ΑΙΚΑΤΕΡΙΝΗ</t>
  </si>
  <si>
    <t>Τ220303</t>
  </si>
  <si>
    <t>ΔΡΟΣΙΤΗ</t>
  </si>
  <si>
    <t>Φ478194</t>
  </si>
  <si>
    <t>ΑΡΟΥΝΗ</t>
  </si>
  <si>
    <t>ΑΖ991076</t>
  </si>
  <si>
    <t>ΚΑΝΑΡΙΔΟΥ</t>
  </si>
  <si>
    <t xml:space="preserve">ΑΘΗΝΑ </t>
  </si>
  <si>
    <t>ΑΗ398161</t>
  </si>
  <si>
    <t>ΠΟΛΥΑΝΘH</t>
  </si>
  <si>
    <t>ΑΚ649472</t>
  </si>
  <si>
    <t>ΜΑΡΟΥΔΗ</t>
  </si>
  <si>
    <t>Σ442886</t>
  </si>
  <si>
    <t>ΜΑΛΕΣΗ</t>
  </si>
  <si>
    <t>ΒΑΣΙΛΙΚΗ ΔΗΜΗΤΡΑ</t>
  </si>
  <si>
    <t>ΑΕ262831</t>
  </si>
  <si>
    <t>ΑΒ755540</t>
  </si>
  <si>
    <t>ΓΚΑΤΖΙΟΥΡΑ</t>
  </si>
  <si>
    <t>ΑΒ834037</t>
  </si>
  <si>
    <t>ΑΟ361359</t>
  </si>
  <si>
    <t>ΓΙΑΝΝΑΚΟΠΟΥΛΟΥ</t>
  </si>
  <si>
    <t>ΑΟ518715</t>
  </si>
  <si>
    <t>ΣΙΛΙΒΕΡΔΗ</t>
  </si>
  <si>
    <t>ΤΖΟΓΙΑ</t>
  </si>
  <si>
    <t>Τ096794</t>
  </si>
  <si>
    <t>ΜΠΕΚΑ</t>
  </si>
  <si>
    <t>ΑΝΑΣΤΑΣΙΑ ΣΠΥΡΙΔΟΥΛΑ</t>
  </si>
  <si>
    <t>ΑΖ522408</t>
  </si>
  <si>
    <t>ΑΖ530963</t>
  </si>
  <si>
    <t>ΚΟΥΤΡΑΣ</t>
  </si>
  <si>
    <t>ΓΕΩΡΓΙΟΣ ΒΛΑΣΙΟΣ</t>
  </si>
  <si>
    <t>ΑΖ692089</t>
  </si>
  <si>
    <t>ΠΑΠΑΡΙΖΟΥ</t>
  </si>
  <si>
    <t>ΑΖ722675</t>
  </si>
  <si>
    <t>ΤΟΥΛΙΟΥ</t>
  </si>
  <si>
    <t>ΕΛΕΥΘ</t>
  </si>
  <si>
    <t>ΑΒ677735</t>
  </si>
  <si>
    <t>ΜΠΙΤΖΙΟΥ</t>
  </si>
  <si>
    <t>ΑΖ656419</t>
  </si>
  <si>
    <t>ΤΑΓΑΡΑΚΗ</t>
  </si>
  <si>
    <t>ΑΗ193466</t>
  </si>
  <si>
    <t>ΔΙΑΡΜΙΣΑΚΗ</t>
  </si>
  <si>
    <t>ΑΖ455408</t>
  </si>
  <si>
    <t>ΚΟΥΡΟΥΚΛΙΔΟΥ</t>
  </si>
  <si>
    <t>Χ259368</t>
  </si>
  <si>
    <t>ΤΣΙΡΜΠΙΝΗ</t>
  </si>
  <si>
    <t>Σ842095</t>
  </si>
  <si>
    <t>ΜΠΑΜΠΙΟΝΙΤΑΚΗ</t>
  </si>
  <si>
    <t>ΑΖ966329</t>
  </si>
  <si>
    <t>ΤΣΩΛΗ</t>
  </si>
  <si>
    <t>ΕΥΣΤΑΘΙΟΥ</t>
  </si>
  <si>
    <t>Χ459466</t>
  </si>
  <si>
    <t>ΠΙΖΑΝΙΑ</t>
  </si>
  <si>
    <t>ΑΟ458865</t>
  </si>
  <si>
    <t>ΓΚΟΥΡΙ</t>
  </si>
  <si>
    <t>ΕΡΤΑ</t>
  </si>
  <si>
    <t>ΑΓΚΙΜ</t>
  </si>
  <si>
    <t>ΑΝ364115</t>
  </si>
  <si>
    <t>ΓΚΙΚΑ</t>
  </si>
  <si>
    <t>ΑΖ036473</t>
  </si>
  <si>
    <t>ΜΠΕΣΣΑ</t>
  </si>
  <si>
    <t>ΑΗ262095</t>
  </si>
  <si>
    <t>ΑΗ007195</t>
  </si>
  <si>
    <t>Τ241745</t>
  </si>
  <si>
    <t>ΑΙ161370</t>
  </si>
  <si>
    <t>ΜΑΤΘΑΙΟΥ</t>
  </si>
  <si>
    <t>ΑΖ840177</t>
  </si>
  <si>
    <t>ΑΖ985541</t>
  </si>
  <si>
    <t>ΝΤΑΡΛΑΓΙΑΝΝΗ</t>
  </si>
  <si>
    <t>ΑΗ262114</t>
  </si>
  <si>
    <t>ΑΟ373783</t>
  </si>
  <si>
    <t>ΚΑΡΑΣΤΑΤΗΡΑ</t>
  </si>
  <si>
    <t>ΜΙΡΑΝΤΑ</t>
  </si>
  <si>
    <t>ΑΙ094392</t>
  </si>
  <si>
    <t>ΑΑ430823</t>
  </si>
  <si>
    <t>ΓΙΟΥΒΑΝΙΔΟΥ ΤΖΕΜΟΥ</t>
  </si>
  <si>
    <t>ΑΝ581087</t>
  </si>
  <si>
    <t>ΑΛΕΥΡΑ</t>
  </si>
  <si>
    <t>ΑΝΘΗ</t>
  </si>
  <si>
    <t>ΑΙ292973</t>
  </si>
  <si>
    <t>ΖΟΥΡΝΑΤΖΙΔΟΥ</t>
  </si>
  <si>
    <t>Τ794989</t>
  </si>
  <si>
    <t>ΞΥΝΙΑ</t>
  </si>
  <si>
    <t>ΑΟ258295</t>
  </si>
  <si>
    <t>ΒΑΧΤΣΕΒΑΝΟΥ</t>
  </si>
  <si>
    <t>Φ275356</t>
  </si>
  <si>
    <t>ΒΑΡΝΙΤΖΙΩΤΟΥ</t>
  </si>
  <si>
    <t>Χ370534</t>
  </si>
  <si>
    <t>ΘΑΛΕΙΑ ΑΓΓΕΛΙΚΗ</t>
  </si>
  <si>
    <t>ΑΝ576307</t>
  </si>
  <si>
    <t>ΑΑ773077</t>
  </si>
  <si>
    <t>ΜΟΥΣΤΑΚΗ</t>
  </si>
  <si>
    <t>ΑΙ131894</t>
  </si>
  <si>
    <t xml:space="preserve">ΠΑΠΑΔΟΠΟΥΛΟΥ </t>
  </si>
  <si>
    <t>ΑΖ 290776</t>
  </si>
  <si>
    <t>ΣΤΑΘΗ</t>
  </si>
  <si>
    <t>ΠΑΝΑΓΙΩ</t>
  </si>
  <si>
    <t>ΑΚ375741</t>
  </si>
  <si>
    <t>ΜΑΡΑΒΕΛΑΚΗ</t>
  </si>
  <si>
    <t>ΜΕΛΠΟΜΕΝΗ</t>
  </si>
  <si>
    <t>ΑΑ412876</t>
  </si>
  <si>
    <t>ΣΑΡΡΗΓΙΑΝΝΙΔΟΥ</t>
  </si>
  <si>
    <t xml:space="preserve">ΕΥΓΕΝΙΑ </t>
  </si>
  <si>
    <t>ΑΒΡΑΑΜ</t>
  </si>
  <si>
    <t>ΑΖ669586</t>
  </si>
  <si>
    <t>ΠΑΠΑΝΤΩΝΙΟΥ</t>
  </si>
  <si>
    <t>ΕΛΙΣΑΒΕΤ ΧΡΥΣΟΒΑΛΑΝΤ</t>
  </si>
  <si>
    <t>ΑΚ311435</t>
  </si>
  <si>
    <t>ΧΑΜΗΛΑΚΗ</t>
  </si>
  <si>
    <t>ΑΗ958260</t>
  </si>
  <si>
    <t>ΑΒ466003</t>
  </si>
  <si>
    <t>Τ143579</t>
  </si>
  <si>
    <t>ΜΠΙΣΤΑ</t>
  </si>
  <si>
    <t>ΑΒ048464</t>
  </si>
  <si>
    <t>ΓΙΟΠΑΝΟΥ</t>
  </si>
  <si>
    <t>ΑΝ265205</t>
  </si>
  <si>
    <t>ΝΙΚΗΤΑΚΗ</t>
  </si>
  <si>
    <t>Π272155</t>
  </si>
  <si>
    <t>ΚΑΛΟΓΗΡΟΥ</t>
  </si>
  <si>
    <t>ΑΟ882849</t>
  </si>
  <si>
    <t>ΜΑΜΩΝΑ</t>
  </si>
  <si>
    <t>Ρ250065</t>
  </si>
  <si>
    <t>ΓΑΛΙΑΤΣΑΤΟΥ</t>
  </si>
  <si>
    <t>Χ709231</t>
  </si>
  <si>
    <t>ΧΑΛΚΙΑΔΑΚΗ</t>
  </si>
  <si>
    <t>Ν972398</t>
  </si>
  <si>
    <t>Ξ147386</t>
  </si>
  <si>
    <t>ΓΟΛΥΚΙΔΟΥ</t>
  </si>
  <si>
    <t>ΑΖ657587</t>
  </si>
  <si>
    <t>ΦΛΑΜΟΥ</t>
  </si>
  <si>
    <t>ΑΕ938042</t>
  </si>
  <si>
    <t>ΑΥΓΕΡΙΝΟΥ</t>
  </si>
  <si>
    <t>Σ369249</t>
  </si>
  <si>
    <t>ΕΥΣΤΡΑΤΟΥΔΑΚΗ</t>
  </si>
  <si>
    <t>ΑΗ586992</t>
  </si>
  <si>
    <t>ΠΟΛΑΤΙΔΟΥ</t>
  </si>
  <si>
    <t>ΑΑ365826</t>
  </si>
  <si>
    <t>ΒΛΑΣΤΟΥ ΣΟΥΡΜΠΑ</t>
  </si>
  <si>
    <t>ΑΝ052316</t>
  </si>
  <si>
    <t>ΒΑΣΙΛΙΚΗ ΓΑΒΡΙΕΛΑ</t>
  </si>
  <si>
    <t>ΜΑΡΙΝΟΣ ΤΣΑΜΠΙΚΟΣ</t>
  </si>
  <si>
    <t>ΑΙ529344</t>
  </si>
  <si>
    <t>ΣΑΧΑΤΙΤ</t>
  </si>
  <si>
    <t>ΚΑΜΕΛ</t>
  </si>
  <si>
    <t>ΑΙ501726</t>
  </si>
  <si>
    <t>ΓΚΟΓΚΟΥ</t>
  </si>
  <si>
    <t>ΑΜ854420</t>
  </si>
  <si>
    <t>ΚΥΡΤΣΟΥ</t>
  </si>
  <si>
    <t>ΚΡΥΣΤΑΛΙΑ</t>
  </si>
  <si>
    <t>ΑΙ713379</t>
  </si>
  <si>
    <t>ΑΡ277970</t>
  </si>
  <si>
    <t>ΤΖΙΑΤΖΙΟΥ</t>
  </si>
  <si>
    <t>ΕΛΕΝΗ ΕΥΦΡΟΣΥΝΗ</t>
  </si>
  <si>
    <t>ΑΝ365999</t>
  </si>
  <si>
    <t>ΓΟΥΠΟΥ</t>
  </si>
  <si>
    <t>ΑΜ823772</t>
  </si>
  <si>
    <t>ΑΜ137391</t>
  </si>
  <si>
    <t>ΛΙΠΑΡΤΕΛΙΑΝΙ</t>
  </si>
  <si>
    <t>ΜΕΓΚΥ</t>
  </si>
  <si>
    <t>ΟΛΕΓΚ</t>
  </si>
  <si>
    <t>ΑΗ187542</t>
  </si>
  <si>
    <t>ΑΛΕΞΑΝΔΡΑ ΕΥΘΥΜΙΑ</t>
  </si>
  <si>
    <t>ΑΙ647151</t>
  </si>
  <si>
    <t>ΜΠΕΤΕΙΝΑΚΗ</t>
  </si>
  <si>
    <t>ΑΜ469467</t>
  </si>
  <si>
    <t>ΠΑΛΑΒΡΑΤΖΗ</t>
  </si>
  <si>
    <t>ΑΝ748487</t>
  </si>
  <si>
    <t>ΑΡΝΗ</t>
  </si>
  <si>
    <t>Χ415016</t>
  </si>
  <si>
    <t>ΣΠΥΡΙΔΟΠΟΥΛΟΥ</t>
  </si>
  <si>
    <t>ΠΕΤΡΟΥΛΑ</t>
  </si>
  <si>
    <t>ΙΟΡΔΑΝΗ</t>
  </si>
  <si>
    <t>ΑΙ192923</t>
  </si>
  <si>
    <t>ΓΑΤΣΟΥ</t>
  </si>
  <si>
    <t>ΑΜ832452</t>
  </si>
  <si>
    <t>ΤΣΙΡΛΑΚΗ</t>
  </si>
  <si>
    <t>ΤΑΤΙΑΝΗ</t>
  </si>
  <si>
    <t>Φ340155</t>
  </si>
  <si>
    <t>ΠΑΠΑΣΤΕΡΓΙΟΥ</t>
  </si>
  <si>
    <t>ΑΖ294358</t>
  </si>
  <si>
    <t>ΓΑΛΟΥΠΗ</t>
  </si>
  <si>
    <t>ΑΖ415118</t>
  </si>
  <si>
    <t>ΒΑΛΤΑΔΩΡΟΥ</t>
  </si>
  <si>
    <t>ΑΚ909603</t>
  </si>
  <si>
    <t>ΧΑΛΜΑΝΤΖΗ</t>
  </si>
  <si>
    <t>ΑΖ252435</t>
  </si>
  <si>
    <t>ΠΕΤΣΑΚΟΥ</t>
  </si>
  <si>
    <t>ΑΙ145880</t>
  </si>
  <si>
    <t>ΜΑΥΡΙΔΟΥ</t>
  </si>
  <si>
    <t>Χ470900</t>
  </si>
  <si>
    <t>ΚΕΦΑΛΟΠΟΥΛΟΥ</t>
  </si>
  <si>
    <t>ΑΙ318999</t>
  </si>
  <si>
    <t>ΑΜ708669</t>
  </si>
  <si>
    <t>ΑΟ492717</t>
  </si>
  <si>
    <t>ΚΟΝΤΙΖΑ</t>
  </si>
  <si>
    <t>Χ676799</t>
  </si>
  <si>
    <t>ΖΗΜΑΝΤΑΚΟΥ</t>
  </si>
  <si>
    <t>ΑΜ418700</t>
  </si>
  <si>
    <t>ΔΗΜΗΤΡΟΣΟΠΟΥΛΟΥ</t>
  </si>
  <si>
    <t>ΑΗ324054</t>
  </si>
  <si>
    <t>ΣΕΡΑΣΗ</t>
  </si>
  <si>
    <t>ΑΚ426189</t>
  </si>
  <si>
    <t>ΧΑΤΖΗΠΑΠΑΦΩΤΙΟΥ</t>
  </si>
  <si>
    <t>Τ973512</t>
  </si>
  <si>
    <t>ΣΟΥΛΙΚΙΑ</t>
  </si>
  <si>
    <t>Σ458945</t>
  </si>
  <si>
    <t>ΜΟΥΖΑ</t>
  </si>
  <si>
    <t>ΑΑ477337</t>
  </si>
  <si>
    <t>ΑΙ846904</t>
  </si>
  <si>
    <t>ΣΤΡΑΤΑΚΗ</t>
  </si>
  <si>
    <t>ΑΗ463257</t>
  </si>
  <si>
    <t>ΔΡΙΒΗΛΑ</t>
  </si>
  <si>
    <t>ΑΒ385049</t>
  </si>
  <si>
    <t>ΜΑΧΑΙΡΙΔΟΥ</t>
  </si>
  <si>
    <t>ΑΑ232853</t>
  </si>
  <si>
    <t>ΣΙΝΩΛΑ</t>
  </si>
  <si>
    <t>ΦΙΛΟΘΕΗ</t>
  </si>
  <si>
    <t>Μ654006</t>
  </si>
  <si>
    <t>ΚΟΛΙΟΚΩΤΣΗ</t>
  </si>
  <si>
    <t>ΑΙ261383</t>
  </si>
  <si>
    <t>ΠΑΝΤΕΛΟΓΛΟΥ</t>
  </si>
  <si>
    <t>Χ861299</t>
  </si>
  <si>
    <t>ΠΟΥΣΙΝΗ</t>
  </si>
  <si>
    <t>ΑΕ860212</t>
  </si>
  <si>
    <t>ΜΟΥΝΤΡΑΚΗ</t>
  </si>
  <si>
    <t>ΑΙ440718</t>
  </si>
  <si>
    <t>ΠΕΓΙΑ</t>
  </si>
  <si>
    <t xml:space="preserve">ΜΙΧΑΗΛ </t>
  </si>
  <si>
    <t>ΑΜ423112</t>
  </si>
  <si>
    <t>ΚΑΤΕΛΗ</t>
  </si>
  <si>
    <t>ΑΗ700960</t>
  </si>
  <si>
    <t>ΑΠΕΡΓΗ</t>
  </si>
  <si>
    <t>Σ571263</t>
  </si>
  <si>
    <t>ΤΣΙΤΟΥΡΑ</t>
  </si>
  <si>
    <t>ΑΗ787572</t>
  </si>
  <si>
    <t>Χ341999</t>
  </si>
  <si>
    <t>ΤΣΑΟΥΣΗ</t>
  </si>
  <si>
    <t>ΚΑΝΕΛΛΟΣ</t>
  </si>
  <si>
    <t>Φ211118</t>
  </si>
  <si>
    <t>ΕΛΕΥΘΕΡΙΑ ΦΑΝΟΥΡΙΑ</t>
  </si>
  <si>
    <t>ΑΖ762971</t>
  </si>
  <si>
    <t>ΖΙΑΚΟΥΛΗ</t>
  </si>
  <si>
    <t>ΑΑ433982</t>
  </si>
  <si>
    <t>ΝΟΤΑΡΙΔΟΥ</t>
  </si>
  <si>
    <t>ΑΚ908009</t>
  </si>
  <si>
    <t>ΣΤΙΒΑΚΤΑ</t>
  </si>
  <si>
    <t>ΑΙ977252</t>
  </si>
  <si>
    <t>ΜΟΣΧΟΥ</t>
  </si>
  <si>
    <t>ΑΜ761455</t>
  </si>
  <si>
    <t>ΓΟΥΡΓΙΩΤΟΥ</t>
  </si>
  <si>
    <t>Χ927005</t>
  </si>
  <si>
    <t xml:space="preserve"> ΓΚΙΚΑ</t>
  </si>
  <si>
    <t>ΣΠΥΡΙΔΩΝΑΣ</t>
  </si>
  <si>
    <t>ΑΝ115427</t>
  </si>
  <si>
    <t>ΑΗ196786</t>
  </si>
  <si>
    <t>ΑΗ112127</t>
  </si>
  <si>
    <t>Χ247551</t>
  </si>
  <si>
    <t>ΓΙΑΝΝΟΥΤΣΟΥ</t>
  </si>
  <si>
    <t>ΑΚ491470</t>
  </si>
  <si>
    <t>ΑΗ 696544</t>
  </si>
  <si>
    <t>ΤΟΠΑΛΝΑΚΟΥ</t>
  </si>
  <si>
    <t>Χ818495</t>
  </si>
  <si>
    <t>ΑΟ976367</t>
  </si>
  <si>
    <t>ΚΟΛΙΟΥΣΗ</t>
  </si>
  <si>
    <t>ΑΚ836862</t>
  </si>
  <si>
    <t>ΑΛΠΟΧΩΡΙΤΟΥ</t>
  </si>
  <si>
    <t>ΑΗ207099</t>
  </si>
  <si>
    <t>ΑΜ677915</t>
  </si>
  <si>
    <t>ΚΡΑΤΗΜΕΝΟΥ</t>
  </si>
  <si>
    <t>ΑΖ077763</t>
  </si>
  <si>
    <t>ΠΙΤΣΑΡΗ</t>
  </si>
  <si>
    <t>ΕΥΑΓΓΕΛΙA</t>
  </si>
  <si>
    <t>ΑΚ407893</t>
  </si>
  <si>
    <t>ΑΗ264499</t>
  </si>
  <si>
    <t>ΜΠΑΣΔΑΡΑ</t>
  </si>
  <si>
    <t>EΛΕΝΗ</t>
  </si>
  <si>
    <t>ΑΝ196980</t>
  </si>
  <si>
    <t>ΜΠΑΚΙΡΤΖΟΓΛΟΥ</t>
  </si>
  <si>
    <t>ΑΗ289757</t>
  </si>
  <si>
    <t>ΧΑΤΖΗΣΤΑΜΑΤΙΟΥ</t>
  </si>
  <si>
    <t>ΑΖ434002</t>
  </si>
  <si>
    <t>ΦΟΥΝΤΟΥΚΙΔΟΥ</t>
  </si>
  <si>
    <t>Χ771847</t>
  </si>
  <si>
    <t>ΣΧΟΡΕΤΣΙΑΝΙΤΗ</t>
  </si>
  <si>
    <t>ΑΒ103767</t>
  </si>
  <si>
    <t>ΣΤΟΙΛΗ</t>
  </si>
  <si>
    <t>ΑΚ254666</t>
  </si>
  <si>
    <t>ΠΙΝΑΚΕΛΛΗ</t>
  </si>
  <si>
    <t>Χ673952</t>
  </si>
  <si>
    <t>ΛΙΟΤΣΙΟΥ</t>
  </si>
  <si>
    <t>ΑΝ861238</t>
  </si>
  <si>
    <t>ΣΟΚΟΛΗ</t>
  </si>
  <si>
    <t>ΑΑ380028</t>
  </si>
  <si>
    <t>ΑΕ810316</t>
  </si>
  <si>
    <t>ΚΑΤΣΑΚΗ</t>
  </si>
  <si>
    <t>ΑΗ805035</t>
  </si>
  <si>
    <t>ΑΖ795910</t>
  </si>
  <si>
    <t>ΖΑΜΠΛΑΚΟΥ</t>
  </si>
  <si>
    <t>Σ434155</t>
  </si>
  <si>
    <t>ΚΑΣΤΑΝΑΡΑ</t>
  </si>
  <si>
    <t>ΑΟ404069</t>
  </si>
  <si>
    <t>ΚΑΡΑΚΩΤΣΟΥ</t>
  </si>
  <si>
    <t>ΑΖ645322</t>
  </si>
  <si>
    <t>ΣΤΑΜΠΟΥΛΙΔΟΥ</t>
  </si>
  <si>
    <t>ΑΑ431249</t>
  </si>
  <si>
    <t>ΑΕ594724</t>
  </si>
  <si>
    <t>ΤΣΑΜΠΑΖΟΓΛΟΥ</t>
  </si>
  <si>
    <t>ΑΖ371949</t>
  </si>
  <si>
    <t>ΟΡΓΙΑΝΟΠΟΥΛΟΥ</t>
  </si>
  <si>
    <t>ΑΙ897458</t>
  </si>
  <si>
    <t>ΜΠΕΛΟΓΙΑ</t>
  </si>
  <si>
    <t>Π028197</t>
  </si>
  <si>
    <t>ΧΑΤΖΗΓΙΑΝΝΑΚΟΥ</t>
  </si>
  <si>
    <t>ΑΒ702723</t>
  </si>
  <si>
    <t>ΜΑΛΗ</t>
  </si>
  <si>
    <t>ΠΕΤΡΟΣ ΜΑΛΗΣ</t>
  </si>
  <si>
    <t>ΑΚ234631</t>
  </si>
  <si>
    <t>ΛΙΤΟΥ</t>
  </si>
  <si>
    <t>ΠΑΡΑΣΚΕΥΑΣ</t>
  </si>
  <si>
    <t>ΑΚ197339</t>
  </si>
  <si>
    <t>ΜΠΙΤΙΛΗ</t>
  </si>
  <si>
    <t>ΑΗ533909</t>
  </si>
  <si>
    <t>ΓΚΙΟΚΑ</t>
  </si>
  <si>
    <t>ΑΗ133336</t>
  </si>
  <si>
    <t>ΠΑΝΤΣΙΔΟΥ</t>
  </si>
  <si>
    <t>ΑΚ253398</t>
  </si>
  <si>
    <t>ΚΩΣΤΗ</t>
  </si>
  <si>
    <t>ΑΑ433542</t>
  </si>
  <si>
    <t>ΑΖ764722</t>
  </si>
  <si>
    <t>ΦΟΥΝΤΑ</t>
  </si>
  <si>
    <t>ΑΚ394237</t>
  </si>
  <si>
    <t>ΑΒ280483</t>
  </si>
  <si>
    <t>ΜΠΑΤΖΑΚΗ</t>
  </si>
  <si>
    <t>ΑΜ824469</t>
  </si>
  <si>
    <t>ΑΝ385000</t>
  </si>
  <si>
    <t>Φ100214</t>
  </si>
  <si>
    <t>ΝΑΚΟΥ ΣΦΗΚΑ</t>
  </si>
  <si>
    <t>ΑΚ353990</t>
  </si>
  <si>
    <t>ΠΕΤΡΗ</t>
  </si>
  <si>
    <t>ΑΕ048513</t>
  </si>
  <si>
    <t>Χ301362</t>
  </si>
  <si>
    <t>ΠΟΛΥΚΡΕΤΗ</t>
  </si>
  <si>
    <t>ΑΗ145867</t>
  </si>
  <si>
    <t>ΔΟΥΡΒΑ</t>
  </si>
  <si>
    <t>ΧΑΡΙΣΙΟΣ</t>
  </si>
  <si>
    <t>Π182109</t>
  </si>
  <si>
    <t>ΠΕΝΤΕΖΙΔΟΥ</t>
  </si>
  <si>
    <t>Χ819539</t>
  </si>
  <si>
    <t>ΟΓΝΕΝΗ</t>
  </si>
  <si>
    <t>ΑΕ348749</t>
  </si>
  <si>
    <t>ΣΤΑΜΚΟΥ</t>
  </si>
  <si>
    <t>ΑΒ856654</t>
  </si>
  <si>
    <t>ΦΑΝΟΥΡΑΚΗ</t>
  </si>
  <si>
    <t>ΑΙ940855</t>
  </si>
  <si>
    <t>ΜΠΟΥΛΟΚΩΣΤΑ</t>
  </si>
  <si>
    <t>ΑΟ723678</t>
  </si>
  <si>
    <t>ΓΡΑΦΙΑΔΕΛΗ</t>
  </si>
  <si>
    <t>Χ506439</t>
  </si>
  <si>
    <t>ΓΑΡΟΥΦΑΛΙΔΟΥ</t>
  </si>
  <si>
    <t>ΑΖ290416</t>
  </si>
  <si>
    <t>ΜΑΡΙΑ ΑΝΝΑ ΡΑΦΑΕΛΑ</t>
  </si>
  <si>
    <t>Χ406282</t>
  </si>
  <si>
    <t>ΑΒ560556</t>
  </si>
  <si>
    <t>ΜΠΙΤΑ</t>
  </si>
  <si>
    <t>ΑΗ034785</t>
  </si>
  <si>
    <t>Σ985544</t>
  </si>
  <si>
    <t>ΚΑΒΒΑΛΟΥ ΔΙΠΛΑ</t>
  </si>
  <si>
    <t>ΑΡΙΣΤΕΑ ΟΛΥΜΠΙΑ</t>
  </si>
  <si>
    <t>ΑΜ738119</t>
  </si>
  <si>
    <t>ΚΑΝΛΗ</t>
  </si>
  <si>
    <t>ΑΒ880300</t>
  </si>
  <si>
    <t>ΚΡΙΤΣΩΤΑΚΗ</t>
  </si>
  <si>
    <t>ΑΕ457239</t>
  </si>
  <si>
    <t>ΓΙΑΡΕΝΗ</t>
  </si>
  <si>
    <t>ΑΗ415768</t>
  </si>
  <si>
    <t>ΦΑΦΟΥΤΗ</t>
  </si>
  <si>
    <t>ΛΟΥΚΙΑ</t>
  </si>
  <si>
    <t>ΑΝ497176</t>
  </si>
  <si>
    <t>ΓΙΑΓΚΙΔΟΥ</t>
  </si>
  <si>
    <t>ΑΕ360551</t>
  </si>
  <si>
    <t>ΚΟΡΝΗΛΙΑ</t>
  </si>
  <si>
    <t>ΑΕ363232</t>
  </si>
  <si>
    <t>ΧΟΡΕΥΑ</t>
  </si>
  <si>
    <t>Ξ583456</t>
  </si>
  <si>
    <t>ΚΑΡΙΠΟΠΟΥΛΟΥ</t>
  </si>
  <si>
    <t>ΑΒ756353</t>
  </si>
  <si>
    <t>ΝΟΥΛΕΛΛΗ</t>
  </si>
  <si>
    <t>ΑΒ837140</t>
  </si>
  <si>
    <t>ΑΒ871839</t>
  </si>
  <si>
    <t>ΠΟ'Ι'ΡΙΑΖΗ</t>
  </si>
  <si>
    <t>Π803611</t>
  </si>
  <si>
    <t>ΖΑΡΚΟΓΙΑΝΝΗ</t>
  </si>
  <si>
    <t>ΑΙ511989</t>
  </si>
  <si>
    <t>ΚΑΡΑΜΠΕΡΟΥ</t>
  </si>
  <si>
    <t>Χ227645</t>
  </si>
  <si>
    <t>ΑΒ446290</t>
  </si>
  <si>
    <t>ΣΥΜΕΩΝΑΚΗ</t>
  </si>
  <si>
    <t>ΘΕΟΠΗ</t>
  </si>
  <si>
    <t>ΑΖ922104</t>
  </si>
  <si>
    <t>ΤΡΙΑΝΤΟΠΟΥΛΟΥ</t>
  </si>
  <si>
    <t>ΧΡΙΣΤΙΝΑ ΜΑΡΙΑ</t>
  </si>
  <si>
    <t>ΑΟ677704</t>
  </si>
  <si>
    <t>ΓΚΑΝΑΤΣΙΟΥ</t>
  </si>
  <si>
    <t>ΑΑ239403</t>
  </si>
  <si>
    <t>ΑΡΜΕΝΗ</t>
  </si>
  <si>
    <t>ΑΗ661608</t>
  </si>
  <si>
    <t>Χ479058</t>
  </si>
  <si>
    <t>ΧΑΙΡΕΤΗ</t>
  </si>
  <si>
    <t>ΑΚ743433</t>
  </si>
  <si>
    <t>ΚΑΣΙΔΟΠΟΥΛΟΥ</t>
  </si>
  <si>
    <t>ΑΗ197016</t>
  </si>
  <si>
    <t>ΓΚΟΥΣΚΟΥ ΚΑΤΣΑΡΟΥ</t>
  </si>
  <si>
    <t>Ρ014059</t>
  </si>
  <si>
    <t>ΜΠΕΛΩΝΙΑ</t>
  </si>
  <si>
    <t>Τ185538</t>
  </si>
  <si>
    <t>ΚΟΛΕΥΡΗ</t>
  </si>
  <si>
    <t>ΑΑ111506</t>
  </si>
  <si>
    <t>ΧΡΙΣΤΙΝΑ ΣΟΦΙΑ</t>
  </si>
  <si>
    <t>ΑΗ609471</t>
  </si>
  <si>
    <t>ΒΑΛΕΝΤΑΚΗ</t>
  </si>
  <si>
    <t>ΑΙ446434</t>
  </si>
  <si>
    <t>ΠΑΠΑΔΑΝΗ</t>
  </si>
  <si>
    <t>ΑΒ351600</t>
  </si>
  <si>
    <t>ΑΒ641750</t>
  </si>
  <si>
    <t>ΑΣΔΡΕ</t>
  </si>
  <si>
    <t>ΑΝ206091</t>
  </si>
  <si>
    <t>ΖΗΣΗ</t>
  </si>
  <si>
    <t>ΑΗ007888</t>
  </si>
  <si>
    <t>ΑΜ877706</t>
  </si>
  <si>
    <t>ΤΣΑΒΔΑΡΙΔΟΥ</t>
  </si>
  <si>
    <t>ΑΙ895630</t>
  </si>
  <si>
    <t>ΣΕΒΑΣΤΑΚΗ</t>
  </si>
  <si>
    <t>ΑΟ272065</t>
  </si>
  <si>
    <t>ΣΩΚΡΑΤΟΥΣ</t>
  </si>
  <si>
    <t>ΑΝ762816</t>
  </si>
  <si>
    <t>ΑΝ268972</t>
  </si>
  <si>
    <t>ΝΟΤΑ</t>
  </si>
  <si>
    <t>ΛΙΖΕΤΑ</t>
  </si>
  <si>
    <t>ΑΙ159691</t>
  </si>
  <si>
    <t>ΖΗΣΟΠΟΥΛΟΥ</t>
  </si>
  <si>
    <t>ΑΙ332081</t>
  </si>
  <si>
    <t>ΓΑΖΕΤΗ</t>
  </si>
  <si>
    <t>Π943107</t>
  </si>
  <si>
    <t>ΡΙΖΑΚΗ</t>
  </si>
  <si>
    <t>ΑΝ465357</t>
  </si>
  <si>
    <t>ΣΙΑΤΗΡΑ</t>
  </si>
  <si>
    <t>ΑΒ835519</t>
  </si>
  <si>
    <t>ΚΑΡΑΓΩΓΟΥ</t>
  </si>
  <si>
    <t>ΑΝ748755</t>
  </si>
  <si>
    <t>ΣΤΟΥΠΑ</t>
  </si>
  <si>
    <t>ΑΒ790024</t>
  </si>
  <si>
    <t>ΑΖ281935</t>
  </si>
  <si>
    <t>ΒΟΜΒΑ</t>
  </si>
  <si>
    <t>ΑΑ412827</t>
  </si>
  <si>
    <t>ΑΚΡΙΤΙΔΟΥ</t>
  </si>
  <si>
    <t>ΑΕ333801</t>
  </si>
  <si>
    <t>ΜΠΟΓΚΝΤΑΝΗ</t>
  </si>
  <si>
    <t>ΛΙΣΙΜΑΚ</t>
  </si>
  <si>
    <t>ΑΜ404790</t>
  </si>
  <si>
    <t>ΠΕΤΣΑΣ</t>
  </si>
  <si>
    <t>ΑΒ812345</t>
  </si>
  <si>
    <t>ΤΡΙΑΝΤΑΦΥΛΛΗ</t>
  </si>
  <si>
    <t>ΑΙ219513</t>
  </si>
  <si>
    <t>ΚΟΥΡΤΕΣΗ</t>
  </si>
  <si>
    <t>ΑΗ151445</t>
  </si>
  <si>
    <t>ΡΑΔΟΥ</t>
  </si>
  <si>
    <t>ΑΝ211249</t>
  </si>
  <si>
    <t>ΑΟ774392</t>
  </si>
  <si>
    <t>ΑΒ374231</t>
  </si>
  <si>
    <t>ΑΙ094930</t>
  </si>
  <si>
    <t>ΚΑΖΑΝΤΖΗ</t>
  </si>
  <si>
    <t>ΑΒ883516</t>
  </si>
  <si>
    <t>ΡΗΓΟΥ</t>
  </si>
  <si>
    <t>ΑΟ826886</t>
  </si>
  <si>
    <t>ΑΡΓΥΡΟΠΟΥΛΟΥ</t>
  </si>
  <si>
    <t>ΑΚ337586</t>
  </si>
  <si>
    <t>ΑΜ600334</t>
  </si>
  <si>
    <t>ΝΩΤΟΥΔΑ</t>
  </si>
  <si>
    <t>ΑΝ718045</t>
  </si>
  <si>
    <t>KELIDIS</t>
  </si>
  <si>
    <t>ANISOARA</t>
  </si>
  <si>
    <t>ΜΖ605307</t>
  </si>
  <si>
    <t>ΑΝ602643</t>
  </si>
  <si>
    <t>ΖΑΡΑΚΩΤΑ</t>
  </si>
  <si>
    <t>ΑΗ295084</t>
  </si>
  <si>
    <t>ΑΡΑΜΠΑΤΖΗ</t>
  </si>
  <si>
    <t>ΛΑΣΚΑΡΗΣ</t>
  </si>
  <si>
    <t>ΑΑ461820</t>
  </si>
  <si>
    <t>ΧΡΗΣΤΟΠΑΝΟΥ</t>
  </si>
  <si>
    <t>ΑΒ810424</t>
  </si>
  <si>
    <t>ΑΜ728819</t>
  </si>
  <si>
    <t>ΚΟΥΚΟΥΤΣΗ</t>
  </si>
  <si>
    <t>ΑΟ258541</t>
  </si>
  <si>
    <t>ΤΑΡΑΜΠΟΥΣΚΑ</t>
  </si>
  <si>
    <t>ΑΜ406378</t>
  </si>
  <si>
    <t>ΚΟΥΚΟΥΤΑ</t>
  </si>
  <si>
    <t>ΑΝ311555</t>
  </si>
  <si>
    <t>ΚΑΡΑΓΕΩΡΓΟΥ</t>
  </si>
  <si>
    <t>ΑΒ420582</t>
  </si>
  <si>
    <t>ΜΟΥΡΟΥΖΗ</t>
  </si>
  <si>
    <t>ΑΖ293479</t>
  </si>
  <si>
    <t>ΠΕΛΕΤΗ</t>
  </si>
  <si>
    <t>Τ016139</t>
  </si>
  <si>
    <t>ΒΑΛΑΣΣΑΚΙ</t>
  </si>
  <si>
    <t>ΑΓΑΠΗ</t>
  </si>
  <si>
    <t>ΑΙ965630</t>
  </si>
  <si>
    <t>ΚΟΥΚΛΗ</t>
  </si>
  <si>
    <t>ΑΜ724235</t>
  </si>
  <si>
    <t>ΜΑΝΙΑΤΗ</t>
  </si>
  <si>
    <t>ΑΙ624261</t>
  </si>
  <si>
    <t>ΑΖ319452</t>
  </si>
  <si>
    <t>ΒΟΥΚΕΛΑΤΟΥ</t>
  </si>
  <si>
    <t>ΕΥΤΥΧΙΟΣ</t>
  </si>
  <si>
    <t>Τ105907</t>
  </si>
  <si>
    <t>ΑΕ336716</t>
  </si>
  <si>
    <t>ΚΑΣΙΜΑΤΗ</t>
  </si>
  <si>
    <t>ΕΜΜΑΝΟΥΗΛΙΑ</t>
  </si>
  <si>
    <t>Ξ916197</t>
  </si>
  <si>
    <t>Χ261034</t>
  </si>
  <si>
    <t>ΠΟΛΑΤΟΥ</t>
  </si>
  <si>
    <t>ΒΑΙΑΣ</t>
  </si>
  <si>
    <t>ΑΑ316034</t>
  </si>
  <si>
    <t>ΓΙΑΝΝΟΥΛΟΥ</t>
  </si>
  <si>
    <t>Τ183630</t>
  </si>
  <si>
    <t>ΡΑΝΟΥ</t>
  </si>
  <si>
    <t>ΑΜ921686</t>
  </si>
  <si>
    <t>ΑΝ010868</t>
  </si>
  <si>
    <t>ΘΕΟΛΟΓΟΥ</t>
  </si>
  <si>
    <t>ΑΚ286221</t>
  </si>
  <si>
    <t>ΧΑΤΖΟΥΔΗ</t>
  </si>
  <si>
    <t>ΜΕΡΟΠΗ</t>
  </si>
  <si>
    <t>ΑΜ681322</t>
  </si>
  <si>
    <t>ΔΟΥΚΑΚΗ</t>
  </si>
  <si>
    <t>ΑΗ602371</t>
  </si>
  <si>
    <t>ΑΑ304123</t>
  </si>
  <si>
    <t>ΑΕ169350</t>
  </si>
  <si>
    <t>ΑΒ782636</t>
  </si>
  <si>
    <t>ΝΑΖΙΡΗ</t>
  </si>
  <si>
    <t>ΑΡ011495</t>
  </si>
  <si>
    <t>ΑΒ409056</t>
  </si>
  <si>
    <t>ΜΠΟΥΖΑΛΑ</t>
  </si>
  <si>
    <t>ΑΜ128580</t>
  </si>
  <si>
    <t>ΔΙΑΜΑΝΤΑΤΟΥ</t>
  </si>
  <si>
    <t>ΑΝΝΑ ΟΛΥΜΠΙΑ</t>
  </si>
  <si>
    <t>ΑΑ400582</t>
  </si>
  <si>
    <t>ΑΟ773683</t>
  </si>
  <si>
    <t>ΧΡΙΣΤΟΥΛΗ</t>
  </si>
  <si>
    <t>ΠΑΓΚΡΑΤΙΟΣ</t>
  </si>
  <si>
    <t>ΜΩΥΣΙΑΔΟΥ</t>
  </si>
  <si>
    <t>ΑΗ807316</t>
  </si>
  <si>
    <t>ΝΑΡΗ</t>
  </si>
  <si>
    <t>ΑΟ356093</t>
  </si>
  <si>
    <t>Χ370242</t>
  </si>
  <si>
    <t>ΜΑΝΤΕΛΛΟΥ</t>
  </si>
  <si>
    <t>ΑΕ078981</t>
  </si>
  <si>
    <t>ΑΡΓΥΡΟΥ</t>
  </si>
  <si>
    <t>ΑΟ367180</t>
  </si>
  <si>
    <t>ΚΩΣΤΙΔΟΥ</t>
  </si>
  <si>
    <t>Χ974021</t>
  </si>
  <si>
    <t>ΚΑΜΝΟΡΟΚΗ</t>
  </si>
  <si>
    <t>ΑΕ166542</t>
  </si>
  <si>
    <t>ΑΒ852352</t>
  </si>
  <si>
    <t>ΤΣΙΝΤΣΑΡΗ</t>
  </si>
  <si>
    <t>ΠΩΛΙΝΑ</t>
  </si>
  <si>
    <t>Τ464094</t>
  </si>
  <si>
    <t>ΑΗ555644</t>
  </si>
  <si>
    <t>ΑΗ635096</t>
  </si>
  <si>
    <t>ΚΑΛΛΙΑΓΡΑ</t>
  </si>
  <si>
    <t>ΑΟ209278</t>
  </si>
  <si>
    <t>ΑΖ210154</t>
  </si>
  <si>
    <t>ΑΡΣΕΝΙΔΟΥ</t>
  </si>
  <si>
    <t>ΑΟ725331</t>
  </si>
  <si>
    <t>ΜΠΙΛΙΟΥΜΠΑΣΗ</t>
  </si>
  <si>
    <t>ΑΗ845701</t>
  </si>
  <si>
    <t>ΠΑΡΔΑΛΟΥ</t>
  </si>
  <si>
    <t>ΑΝ200149</t>
  </si>
  <si>
    <t>Χ394701</t>
  </si>
  <si>
    <t>ΠΑΓΟΥΡΑ</t>
  </si>
  <si>
    <t>Χ814746</t>
  </si>
  <si>
    <t>ΑΤΖΕΜΙΑΝ</t>
  </si>
  <si>
    <t>ΒΑΡΤΕΒΑΡ</t>
  </si>
  <si>
    <t>ΑΒ615575</t>
  </si>
  <si>
    <t>ΜΑΝΤΗ</t>
  </si>
  <si>
    <t>ΑΗ624158</t>
  </si>
  <si>
    <t>ΚΟΥΦΑΛΙΩΤΗ</t>
  </si>
  <si>
    <t>ΑΙ125178</t>
  </si>
  <si>
    <t>ΤΣΑΛΙΚΗ</t>
  </si>
  <si>
    <t>ΑΡ238200</t>
  </si>
  <si>
    <t>ΚΑΡΕΛΗ</t>
  </si>
  <si>
    <t>ΕΙΡΗΝΗ ΧΡΥΣΑΦΟΥΛΑ</t>
  </si>
  <si>
    <t>ΑΒ996112</t>
  </si>
  <si>
    <t>ΤΑΛΑΝΤΗ</t>
  </si>
  <si>
    <t>ΑΗ149065</t>
  </si>
  <si>
    <t>ΚΟΤΖΑΜΑΝΗ</t>
  </si>
  <si>
    <t>ΑΗ061447</t>
  </si>
  <si>
    <t>ΠΑΝΤΑΖΗ</t>
  </si>
  <si>
    <t>ΑΗ989685</t>
  </si>
  <si>
    <t>ΦΑΝΑΡΙΩΤΗ</t>
  </si>
  <si>
    <t>ΑΖ756151</t>
  </si>
  <si>
    <t>ΖΑΝΝΙΚΟΥ</t>
  </si>
  <si>
    <t>ΑΚ000132</t>
  </si>
  <si>
    <t>ΑΒ070182</t>
  </si>
  <si>
    <t>ΠΙΕΡΡΙΝΑΚΟΥ</t>
  </si>
  <si>
    <t>ΑΙΚΑΤΕΡΙΝΗ ΙΩΑΝΝΑ</t>
  </si>
  <si>
    <t>ΑΜ344867</t>
  </si>
  <si>
    <t>ΛΥΚΟΚΩΣΤΑ</t>
  </si>
  <si>
    <t>ΑΟ352293</t>
  </si>
  <si>
    <t>ΑΕ582759</t>
  </si>
  <si>
    <t>ΓΙΑΒΡΙΜΗ</t>
  </si>
  <si>
    <t>ΑΗ430608</t>
  </si>
  <si>
    <t>ΚΟΚΛΑ</t>
  </si>
  <si>
    <t>Ν520860</t>
  </si>
  <si>
    <t>ΚΑΜΠΕΡΙΔΟΥ</t>
  </si>
  <si>
    <t>ΑΖ396214</t>
  </si>
  <si>
    <t>ΖΗΝΕΛΗ</t>
  </si>
  <si>
    <t>Π171913</t>
  </si>
  <si>
    <t>ΖΟΥΜΠΟΥ</t>
  </si>
  <si>
    <t>ΠΟΛΥΖΩΗ</t>
  </si>
  <si>
    <t>ΑΖ144656</t>
  </si>
  <si>
    <t>ΒΑΓΙΑΝΑ</t>
  </si>
  <si>
    <t>ΣΩΦΡΟΝΙΟΣ</t>
  </si>
  <si>
    <t>ΑΙ168164</t>
  </si>
  <si>
    <t>ΤΣΑΠΟΥΡΝΑ</t>
  </si>
  <si>
    <t>ΑΕ498999</t>
  </si>
  <si>
    <t>ΔΑΝΙΗΛΙΔΟΥ</t>
  </si>
  <si>
    <t>ΑΑ236816</t>
  </si>
  <si>
    <t>ΑΖ721488</t>
  </si>
  <si>
    <t>ΝΤΕΛΙΑΙ</t>
  </si>
  <si>
    <t>ΕΓΚΕΡΤΑ</t>
  </si>
  <si>
    <t>ΝΤΕΛΟ</t>
  </si>
  <si>
    <t>ΑΝ156758</t>
  </si>
  <si>
    <t>ΒΑΡΔΑΒΑ</t>
  </si>
  <si>
    <t>Τ333696</t>
  </si>
  <si>
    <t>ΔΟΥΠΛΗ</t>
  </si>
  <si>
    <t>ΑΕ343350</t>
  </si>
  <si>
    <t>ΩΡΑΙΟΖΗΛΗ</t>
  </si>
  <si>
    <t>ΑΚ857140</t>
  </si>
  <si>
    <t>ΚΑΡΑΠΕΤΣΑ</t>
  </si>
  <si>
    <t>ΑΖ787715</t>
  </si>
  <si>
    <t>ΔΕΛΟΓΛΟΥ</t>
  </si>
  <si>
    <t>Φ328817</t>
  </si>
  <si>
    <t>ΑΖ677446</t>
  </si>
  <si>
    <t>ΡΩΜΑ</t>
  </si>
  <si>
    <t>ΑΒ241190</t>
  </si>
  <si>
    <t>ΒΡΥΩΝΗ</t>
  </si>
  <si>
    <t xml:space="preserve">ΚΩΝΣΤΑΝΤΙΝΑ </t>
  </si>
  <si>
    <t>ΑΑ318740</t>
  </si>
  <si>
    <t>ΑΒ110251</t>
  </si>
  <si>
    <t>ΑΙ732849</t>
  </si>
  <si>
    <t>ΚΑΡΕΠΙΔΗ</t>
  </si>
  <si>
    <t>ΑΟ677583</t>
  </si>
  <si>
    <t>ΠΟΓΑ</t>
  </si>
  <si>
    <t>Χ987019</t>
  </si>
  <si>
    <t>ΣΙΑΦΑΡΙΚΑ</t>
  </si>
  <si>
    <t>ΕΥΔΟΚΙΑ ΤΑΞΙΑΡΧΟΥΛΑ</t>
  </si>
  <si>
    <t>ΑΜ368979</t>
  </si>
  <si>
    <t>ΚΩΣΤΑΚΙΩΤΗ</t>
  </si>
  <si>
    <t>ΑΜ741584</t>
  </si>
  <si>
    <t>ΛΥΡΑΤΖΗ</t>
  </si>
  <si>
    <t>ΣΜΑΡΟΥΛΑ</t>
  </si>
  <si>
    <t>ΑΕ909269</t>
  </si>
  <si>
    <t>ΤΟΛΙΟΠΟΥΛΟΥ</t>
  </si>
  <si>
    <t>Χ391466</t>
  </si>
  <si>
    <t>ΖΕΛΙΟΥ</t>
  </si>
  <si>
    <t>ΑΕ226672</t>
  </si>
  <si>
    <t>Φ346640</t>
  </si>
  <si>
    <t>ΑΕ204924</t>
  </si>
  <si>
    <t>Σ940955</t>
  </si>
  <si>
    <t>ΚΑΜΕΛΙΔΟΥ</t>
  </si>
  <si>
    <t>ΑΗ840467</t>
  </si>
  <si>
    <t>ΣΑΛΟΝΙΚΙΔΟΥ</t>
  </si>
  <si>
    <t>ΠΑΡΕΣΑ</t>
  </si>
  <si>
    <t>Χ231169</t>
  </si>
  <si>
    <t>ΣΚΟΚΛΗ</t>
  </si>
  <si>
    <t>ΓΙΑΓΚΟΣ</t>
  </si>
  <si>
    <t>ΑΝ767257</t>
  </si>
  <si>
    <t>ΚΩΣΤΑΡΕΛΟΥ</t>
  </si>
  <si>
    <t>ΑΜ324680</t>
  </si>
  <si>
    <t>ΤΡΙΑΝΤΑΦΥΛΛΟΥ</t>
  </si>
  <si>
    <t>ΦΛΩΡΑ ΜΑΡΙΑ</t>
  </si>
  <si>
    <t>Π900572</t>
  </si>
  <si>
    <t>ΠΑΠΑΓΕΡΑΣΙΜΟΥ</t>
  </si>
  <si>
    <t>Χ717660</t>
  </si>
  <si>
    <t>ΚΛΙΑΜΠΑ</t>
  </si>
  <si>
    <t>ΑΖ850270</t>
  </si>
  <si>
    <t>ΧΡΥΣΟΣΤΟΜΟΣ</t>
  </si>
  <si>
    <t>ΑΜ281475</t>
  </si>
  <si>
    <t>ΑΟ242480</t>
  </si>
  <si>
    <t>ΣΟΝΙΑΔΟΥ</t>
  </si>
  <si>
    <t>Ν733901</t>
  </si>
  <si>
    <t>ΦΛΥΤΖΙΑΝΗ</t>
  </si>
  <si>
    <t>ΒΙΚΤΩΡΙΑ ΜΑΡΙΑ</t>
  </si>
  <si>
    <t>ΑΙ861001</t>
  </si>
  <si>
    <t>ΑΗ403620</t>
  </si>
  <si>
    <t>ΝΙΚΟΛΑΡΟΥ</t>
  </si>
  <si>
    <t>Χ903709</t>
  </si>
  <si>
    <t>ΠΑΤΟΥΝΑ</t>
  </si>
  <si>
    <t>ΑΗ667184</t>
  </si>
  <si>
    <t>ΓΕΤΙΜΗ</t>
  </si>
  <si>
    <t>ΑΜ992257</t>
  </si>
  <si>
    <t>ΠΛΑΚΙΑ</t>
  </si>
  <si>
    <t>ΑΝ834388</t>
  </si>
  <si>
    <t>ΣΓΟΥΡΕΛΛΗ</t>
  </si>
  <si>
    <t>ΑΗ429666</t>
  </si>
  <si>
    <t>ΜΠΙΤΟΥΝΗ</t>
  </si>
  <si>
    <t>ΑΖ104543</t>
  </si>
  <si>
    <t>ΖΟΥΜΠΟΥΛΑΚΗ</t>
  </si>
  <si>
    <t>ΑΙ964911</t>
  </si>
  <si>
    <t>ΔΗΜΗΤΡΑ ΕΛΕΝΗ</t>
  </si>
  <si>
    <t>ΑΙ297162</t>
  </si>
  <si>
    <t>ΜΟΥΣΧΟΥΔΗ</t>
  </si>
  <si>
    <t>ΑΟ694699</t>
  </si>
  <si>
    <t>ΧΑΤΖΗΠΑΓΩΝΗ</t>
  </si>
  <si>
    <t>ΑΚ304221</t>
  </si>
  <si>
    <t>ΑΙΒΑΖΙΔΟΥ</t>
  </si>
  <si>
    <t>ΑΕ643150</t>
  </si>
  <si>
    <t>ΣΤΕΝΟΥ</t>
  </si>
  <si>
    <t>ΑΙ306787</t>
  </si>
  <si>
    <t>ΚΑΡΟΥΝΗ ΓΚΑΡΟΥ</t>
  </si>
  <si>
    <t>ΑΒ547538</t>
  </si>
  <si>
    <t>ΑΕ971997</t>
  </si>
  <si>
    <t>ΜΑΡΟΥΔΑ</t>
  </si>
  <si>
    <t>ΑΚ603785</t>
  </si>
  <si>
    <t>ΤΣΟΜΠΑΝΗ</t>
  </si>
  <si>
    <t>ΑΑ403588</t>
  </si>
  <si>
    <t>ΑΙ329167</t>
  </si>
  <si>
    <t>ΣΑΞΩΝΗ</t>
  </si>
  <si>
    <t>ΑΙ499055</t>
  </si>
  <si>
    <t>ΑΒ957536</t>
  </si>
  <si>
    <t>ΧΑΣΑΛΕΥΡΗ</t>
  </si>
  <si>
    <t>ΜΑΡΙΝΑ ΕΥΦΡΟΣΥΝΗ</t>
  </si>
  <si>
    <t>ΑΜ264610</t>
  </si>
  <si>
    <t>ΑΑ492994</t>
  </si>
  <si>
    <t>ΑΡ009638</t>
  </si>
  <si>
    <t>ΑΑ259049</t>
  </si>
  <si>
    <t>ΚΑΡΑΝΤΩΝΗ</t>
  </si>
  <si>
    <t>ΑΒ976206</t>
  </si>
  <si>
    <t>ΠΡΙΜΠΑ</t>
  </si>
  <si>
    <t>Π147597</t>
  </si>
  <si>
    <t>ΜΙΧΑΛΟΠΟΥΛΟΥ</t>
  </si>
  <si>
    <t>ΑΝ207247</t>
  </si>
  <si>
    <t>Χ957632</t>
  </si>
  <si>
    <t>ΚΡΗΤΙΚΟΥ</t>
  </si>
  <si>
    <t>ΑΑ498527</t>
  </si>
  <si>
    <t>ΤΣΟΧΑΝΤΑΡΙΔΟΥ</t>
  </si>
  <si>
    <t>ΝΑΠΟΛΕΩΝ</t>
  </si>
  <si>
    <t>ΑΕ169976</t>
  </si>
  <si>
    <t>ΚΑΤΣΙΑΓΓΕΛΟΥ</t>
  </si>
  <si>
    <t>Χ990637</t>
  </si>
  <si>
    <t>ΠΑΠΑΙΩΑΝΝΟΥ</t>
  </si>
  <si>
    <t>ΝΙΚΟΛΙΤΣΑ ΣΩΤΗΡΙΑ</t>
  </si>
  <si>
    <t>ΑΒ978014</t>
  </si>
  <si>
    <t>Τ216196</t>
  </si>
  <si>
    <t>Σ900179</t>
  </si>
  <si>
    <t>ΙΑΚΩΒΙΔΟΥ</t>
  </si>
  <si>
    <t>ΠΕΡΣΑ</t>
  </si>
  <si>
    <t>Χ844317</t>
  </si>
  <si>
    <t>ΓΡΑΜΜΕΝΟΥ</t>
  </si>
  <si>
    <t>ΑΜ356991</t>
  </si>
  <si>
    <t>ΒΑΖΟΥΡΑ</t>
  </si>
  <si>
    <t>ΑΚ027108</t>
  </si>
  <si>
    <t>ΓΙΑΝΝΙΣΟΓΛΟΥ</t>
  </si>
  <si>
    <t>ΠΛΑΤΩΝ</t>
  </si>
  <si>
    <t>ΑΗ865419</t>
  </si>
  <si>
    <t>ΚΡΗΜΝΙΑΝΙΩΤΟΥ</t>
  </si>
  <si>
    <t>ΑΖ647817</t>
  </si>
  <si>
    <t>Χ574845</t>
  </si>
  <si>
    <t>ΚΟΣΣΥΒΑ</t>
  </si>
  <si>
    <t>Χ 289088</t>
  </si>
  <si>
    <t>ΑΗ841468</t>
  </si>
  <si>
    <t>ΓΑΡΥΦΑΛΛΙΔΟΥ</t>
  </si>
  <si>
    <t>ΑΗ674175</t>
  </si>
  <si>
    <t>ΜΠΟΙΤΣΗ</t>
  </si>
  <si>
    <t>Ρ168549</t>
  </si>
  <si>
    <t>ΣΟΥΡΒΙΝΟΥ</t>
  </si>
  <si>
    <t>ΑΖ254799</t>
  </si>
  <si>
    <t>ΤΣΙΚΛΗΡΑ</t>
  </si>
  <si>
    <t>ΑΙ217758</t>
  </si>
  <si>
    <t>ΦΕΒΡΩΝΙΑ</t>
  </si>
  <si>
    <t>ΑΗ665703</t>
  </si>
  <si>
    <t>ΧΡΥΣΟΥ</t>
  </si>
  <si>
    <t>ΜΑΡΟΥΣΑ</t>
  </si>
  <si>
    <t>ΑΚ540084</t>
  </si>
  <si>
    <t>ΑΙ975239</t>
  </si>
  <si>
    <t>ΣΥΝΟΔΙΝΟΥ</t>
  </si>
  <si>
    <t xml:space="preserve"> ΔΙΟΝΥΣΙΟΣ</t>
  </si>
  <si>
    <t>Χ053311</t>
  </si>
  <si>
    <t>ΡΟΥΔΥΝΚΛΗ</t>
  </si>
  <si>
    <t>ΑΙ351255</t>
  </si>
  <si>
    <t>Τ399799</t>
  </si>
  <si>
    <t>ΚΕΤΙΚΙΔΟΥ</t>
  </si>
  <si>
    <t>Χ818675</t>
  </si>
  <si>
    <t>ΑΖ747951</t>
  </si>
  <si>
    <t>ΣΤΑΜΑΤΙΟΥ</t>
  </si>
  <si>
    <t>ΣΤΥΛΑΙΝΟΣ</t>
  </si>
  <si>
    <t>ΑΒ121443</t>
  </si>
  <si>
    <t>ΜΠΑΡΜΠΑΚΗ</t>
  </si>
  <si>
    <t>Σ778188</t>
  </si>
  <si>
    <t>ΔΕΜΕΤΗ</t>
  </si>
  <si>
    <t>ΧΡΥΣΑΦΕΝΙΑ</t>
  </si>
  <si>
    <t>ΑΚ845590</t>
  </si>
  <si>
    <t>ΣΙΑΡΑΜΠΗ</t>
  </si>
  <si>
    <t>Χ865056</t>
  </si>
  <si>
    <t>Φ155168</t>
  </si>
  <si>
    <t>ΠΙΤΙΛΑΚΗ</t>
  </si>
  <si>
    <t>ΑΟ732717</t>
  </si>
  <si>
    <t>ΑΝ826634</t>
  </si>
  <si>
    <t>ΑΡΖΟΓΛΟΥ</t>
  </si>
  <si>
    <t>ΑΟ652014</t>
  </si>
  <si>
    <t>ΣΚΟΡΔΑΛΗ</t>
  </si>
  <si>
    <t>ΕΥΔΟΚΙΑ ΔΗΜΗΤΡΑ</t>
  </si>
  <si>
    <t>ΑΖ060366</t>
  </si>
  <si>
    <t>ΚΥΡΚΙΛΗ</t>
  </si>
  <si>
    <t>Χ716744</t>
  </si>
  <si>
    <t>ΑΗ894166</t>
  </si>
  <si>
    <t>ΜΑΛΕΑ</t>
  </si>
  <si>
    <t>ΑΙ718563</t>
  </si>
  <si>
    <t>ΑΒ885861</t>
  </si>
  <si>
    <t>ΝΤΑΓΚΑ</t>
  </si>
  <si>
    <t>ΑΚ865991</t>
  </si>
  <si>
    <t>ΚΑΠΠΑ</t>
  </si>
  <si>
    <t>Χ037902</t>
  </si>
  <si>
    <t>ΖΟΡΜΠΑ</t>
  </si>
  <si>
    <t xml:space="preserve">ΔΗΜΗΤΡΙΟΣ </t>
  </si>
  <si>
    <t>Σ802178</t>
  </si>
  <si>
    <t>ΜΕΡΚΟΥΡΗ</t>
  </si>
  <si>
    <t>ΑΚ764665</t>
  </si>
  <si>
    <t>ΑΡΒΑΝΙΤΟΠΟΥΛΟΥ</t>
  </si>
  <si>
    <t>ΑΗ418332</t>
  </si>
  <si>
    <t>ΚΑΤΡΙΝΗ</t>
  </si>
  <si>
    <t>ΑΜ967070</t>
  </si>
  <si>
    <t>Χ518042</t>
  </si>
  <si>
    <t>ΑΟ432953</t>
  </si>
  <si>
    <t>ΤΖΙΡΟΥ</t>
  </si>
  <si>
    <t>ΜΑΡΚΕΛΑ ΧΑΡΑ</t>
  </si>
  <si>
    <t>ΑΙ297661</t>
  </si>
  <si>
    <t>ΧΑΡΑΛΑΜΠΑΚΗ</t>
  </si>
  <si>
    <t>ΑΟ557795</t>
  </si>
  <si>
    <t>ΑΛΕΞΙΑ</t>
  </si>
  <si>
    <t>ΑΝ345203</t>
  </si>
  <si>
    <t>Ρ788899</t>
  </si>
  <si>
    <t>ΑΡΕΤΑΚΗ</t>
  </si>
  <si>
    <t>Χ494512</t>
  </si>
  <si>
    <t>ΣΤΑΜΠΟΛΑΚΗ</t>
  </si>
  <si>
    <t>Σ992302</t>
  </si>
  <si>
    <t>ΕΥΑΓΓΕΛΙΟΥ</t>
  </si>
  <si>
    <t>Ρ771835</t>
  </si>
  <si>
    <t>ΛΙΟΥΔΑΚΗ</t>
  </si>
  <si>
    <t>ΑΙ442657</t>
  </si>
  <si>
    <t>ΑΗΔΟΝΗ</t>
  </si>
  <si>
    <t>ΑΑ377431</t>
  </si>
  <si>
    <t>ΤΣΙΡΚΑ</t>
  </si>
  <si>
    <t>ΑΗ588007</t>
  </si>
  <si>
    <t>ΖΟΥΜΠΑ</t>
  </si>
  <si>
    <t>Τ337608</t>
  </si>
  <si>
    <t>ΤΣΕΣΜΕΤΖΙΔΟΥ</t>
  </si>
  <si>
    <t>ΑΙ907833</t>
  </si>
  <si>
    <t>ΚΟΥΤΡΑ</t>
  </si>
  <si>
    <t>ΑΖ297610</t>
  </si>
  <si>
    <t>ΚΑΙΤΕΛΙΔΟΥ</t>
  </si>
  <si>
    <t>ΕΥΑ</t>
  </si>
  <si>
    <t>ΑΑ248510</t>
  </si>
  <si>
    <t>ΜΑΚΡΟΓΛΟΥ</t>
  </si>
  <si>
    <t>Χ317840</t>
  </si>
  <si>
    <t>ΑΗ326518</t>
  </si>
  <si>
    <t>ΑΙ355886</t>
  </si>
  <si>
    <t>ΜΑΥΡΟΓΙΑΝΝΗ</t>
  </si>
  <si>
    <t>ΑΙ243648</t>
  </si>
  <si>
    <t>ΜΑΤΑΝΑ</t>
  </si>
  <si>
    <t>ΑΗ896009</t>
  </si>
  <si>
    <t>ΑΒ541998</t>
  </si>
  <si>
    <t>ΒΡΑΚΑ</t>
  </si>
  <si>
    <t>ΑΝ222527</t>
  </si>
  <si>
    <t>ΠΟΛΥΒΙΑ ΚΑΛΥΨΩ</t>
  </si>
  <si>
    <t>ΑΖ627386</t>
  </si>
  <si>
    <t>ΑΝ828576</t>
  </si>
  <si>
    <t>ΞΥΝΑΔΑ</t>
  </si>
  <si>
    <t>ΕΜΜΑΝΟΥΕΛΑ ΝΕΚΤΑΡΙΑ</t>
  </si>
  <si>
    <t>ΑΚ918753</t>
  </si>
  <si>
    <t>ΜΕΙΜΑΡΟΓΛΟΥ</t>
  </si>
  <si>
    <t>ΑΗ631359</t>
  </si>
  <si>
    <t>ΔΡΑΓΑΝΟΥΔΗ</t>
  </si>
  <si>
    <t>Χ987782</t>
  </si>
  <si>
    <t>ΜΠΙΛΙΟΥ</t>
  </si>
  <si>
    <t>ΝΑΥΣΙΚΑ ΚΩΝΣΤΑΝΤΙΝΑ</t>
  </si>
  <si>
    <t>ΑΗ704186</t>
  </si>
  <si>
    <t>ΑΒΡΑΜΟΠΟΥΛΟΥ</t>
  </si>
  <si>
    <t>Τ273685</t>
  </si>
  <si>
    <t>ΑΝ800808</t>
  </si>
  <si>
    <t>ΑΑ452939</t>
  </si>
  <si>
    <t>Χ878369</t>
  </si>
  <si>
    <t>ΑΝ214654</t>
  </si>
  <si>
    <t>ΠΑΠΑΜΙΧΑΗΛ</t>
  </si>
  <si>
    <t>ΓΕΩΡ</t>
  </si>
  <si>
    <t>Σ800217</t>
  </si>
  <si>
    <t>ΜΑΥΡΟΔΗΜΟΥ</t>
  </si>
  <si>
    <t>ΑΗ767760</t>
  </si>
  <si>
    <t>ΑΝΤΩΝΟΓΛΟΥ</t>
  </si>
  <si>
    <t>ΑΕ603321</t>
  </si>
  <si>
    <t>ΑΒ917343</t>
  </si>
  <si>
    <t>ΚΟΚΚΩΝΗ</t>
  </si>
  <si>
    <t>ΑΗ175758</t>
  </si>
  <si>
    <t>ΣΜΙΛΕΒΣΚΑ</t>
  </si>
  <si>
    <t>ΝΑΝΤΙΤΣΑ ΕΛΠΙΔΑ</t>
  </si>
  <si>
    <t>ΝΤΟΥΣΚΟ</t>
  </si>
  <si>
    <t>ΑΗ289904</t>
  </si>
  <si>
    <t>ΜΠΑΡΔΑΡΗ</t>
  </si>
  <si>
    <t>ΑΙ346157</t>
  </si>
  <si>
    <t>ΣΤΕΦΑΝΟΠΟΥΛΟΥ</t>
  </si>
  <si>
    <t>ΑΙ145304</t>
  </si>
  <si>
    <t>ΜΟΣΧΑΜΠΑΡΗ</t>
  </si>
  <si>
    <t>ΑΒ598639</t>
  </si>
  <si>
    <t>ΘΕΟΠΟΥΛΑ</t>
  </si>
  <si>
    <t>Χ314825</t>
  </si>
  <si>
    <t>ΞΕΝΙΚΑ</t>
  </si>
  <si>
    <t>ΑΙ630250</t>
  </si>
  <si>
    <t>ΓΙΑΝΝΑΚΟΥΔΑΚΗ</t>
  </si>
  <si>
    <t>ΜΕΛΙΝΑ</t>
  </si>
  <si>
    <t>Π412829</t>
  </si>
  <si>
    <t xml:space="preserve">ΓΙΤΣΑ </t>
  </si>
  <si>
    <t xml:space="preserve">ΙΩΆΝΝΗΣ </t>
  </si>
  <si>
    <t>ΑΚ284840</t>
  </si>
  <si>
    <t>ΜΑΡΙΑ ΘΕΟΔΟΣΙΑ</t>
  </si>
  <si>
    <t>ΑΒ129901</t>
  </si>
  <si>
    <t>ΜΑΤΖΟΥΝΗ</t>
  </si>
  <si>
    <t>ΒΑΣΙΛΙΚΗ ΕΛΕΝΗ</t>
  </si>
  <si>
    <t>ΑΙ169994</t>
  </si>
  <si>
    <t>ΠΕΓΙΟΓΛΟΥ</t>
  </si>
  <si>
    <t>ΑΟ271852</t>
  </si>
  <si>
    <t>ΑΒ514397</t>
  </si>
  <si>
    <t>ΘΥΜΑΚΗ</t>
  </si>
  <si>
    <t>ΑΟ803588</t>
  </si>
  <si>
    <t>ΣΚΟΥΠΡΑ</t>
  </si>
  <si>
    <t>ΑΙ282525</t>
  </si>
  <si>
    <t>ΔΙΑΜΑΝΤΩ</t>
  </si>
  <si>
    <t>ΑΕ638415</t>
  </si>
  <si>
    <t>ΑΜ310808</t>
  </si>
  <si>
    <t>ΑΛΤΑΝΗ</t>
  </si>
  <si>
    <t>ΑΙ997602</t>
  </si>
  <si>
    <t>ΑΗ733981</t>
  </si>
  <si>
    <t>ΝΤΑΟΥΛΑ</t>
  </si>
  <si>
    <t>ΑΑ969241</t>
  </si>
  <si>
    <t>ΠΑΠΑΚΑΛΟΔΟΥΚΑ</t>
  </si>
  <si>
    <t>ΑΜ941498</t>
  </si>
  <si>
    <t>ΧΡΗΣΤΑΚΗ</t>
  </si>
  <si>
    <t>ΑΖ309565</t>
  </si>
  <si>
    <t>ΕΠΙΤΡΟΠΟΥ</t>
  </si>
  <si>
    <t>ΑΖ383373</t>
  </si>
  <si>
    <t>ΑΒΡΑΜΙΔΟΥ</t>
  </si>
  <si>
    <t>ΑΝ347796</t>
  </si>
  <si>
    <t>ΠΥΡΑΛΗ</t>
  </si>
  <si>
    <t>ΘΑΝΑΣΗΣ</t>
  </si>
  <si>
    <t>ΑΙ 693745</t>
  </si>
  <si>
    <t>ΚΕΛΛΗ</t>
  </si>
  <si>
    <t>ΑΚ311724</t>
  </si>
  <si>
    <t>ΦΥΤΡΟΥ</t>
  </si>
  <si>
    <t>ΕΙΡΗΝΗ ΑΝΝΑ</t>
  </si>
  <si>
    <t>Σ998005</t>
  </si>
  <si>
    <t>ΜΑΚΡΙΔΟΥ</t>
  </si>
  <si>
    <t>ΑΗ341717</t>
  </si>
  <si>
    <t>ΑΚ981129</t>
  </si>
  <si>
    <t>ΧΑΤΖΗΣΤΑΥΡΙΔΟΥ</t>
  </si>
  <si>
    <t>ΑΗ908252</t>
  </si>
  <si>
    <t>ΑΜ031357</t>
  </si>
  <si>
    <t>ΓΡΑΨΑ</t>
  </si>
  <si>
    <t>ΑΚΡΙΒΟΥΛΑ</t>
  </si>
  <si>
    <t>Ν802530</t>
  </si>
  <si>
    <t>ΣΕΡΙΔΟΥ</t>
  </si>
  <si>
    <t>ΑΗ426892</t>
  </si>
  <si>
    <t>ΜΕΡΣΙΝΙ</t>
  </si>
  <si>
    <t>ΑΡΤΟΥΡ</t>
  </si>
  <si>
    <t>ΑΜ882136</t>
  </si>
  <si>
    <t>Ξ685876</t>
  </si>
  <si>
    <t>ΒΛΑΧΟΚΩΣΤΑ</t>
  </si>
  <si>
    <t>ΑΜ829611</t>
  </si>
  <si>
    <t>ΑΞΙΜΝΙΩΤΟΥ</t>
  </si>
  <si>
    <t>ΑΗ873494</t>
  </si>
  <si>
    <t>ΣΑΚΚΑΡΟΥ</t>
  </si>
  <si>
    <t>AN904516</t>
  </si>
  <si>
    <t>Χ950518</t>
  </si>
  <si>
    <t>ΜΑΡΗ</t>
  </si>
  <si>
    <t>Ρ506788</t>
  </si>
  <si>
    <t>ΡΙΖΟΥΛΗ</t>
  </si>
  <si>
    <t>ΑΟ491681</t>
  </si>
  <si>
    <t>ΕΓΓΛΕΖΟΥ</t>
  </si>
  <si>
    <t>ΑΗ174109</t>
  </si>
  <si>
    <t>ΑΝΑΣΤΑΣΙΑΔΟΥ</t>
  </si>
  <si>
    <t>ΑΖ817481</t>
  </si>
  <si>
    <t>ΠΑΡΑΣΚΕΥΟΥΛΑ</t>
  </si>
  <si>
    <t>ΑΙ189595</t>
  </si>
  <si>
    <t>ΔΟΙΤΣΙΝΗ</t>
  </si>
  <si>
    <t>ΑΗ009227</t>
  </si>
  <si>
    <t>ΚΑΝΤΑΡΕΛΗ</t>
  </si>
  <si>
    <t>Χ382714</t>
  </si>
  <si>
    <t>ΠΟΤΣΗ</t>
  </si>
  <si>
    <t>ΑΝ232872</t>
  </si>
  <si>
    <t>ΜΠΑΤΣΑΡΑ</t>
  </si>
  <si>
    <t>ΑΕ841940</t>
  </si>
  <si>
    <t>ΣΙΔΕΡΑ</t>
  </si>
  <si>
    <t>Χ818967</t>
  </si>
  <si>
    <t>ΕΛΕΝΗ ΜΑΡΙΑ</t>
  </si>
  <si>
    <t>ΑΗ298713</t>
  </si>
  <si>
    <t>ΞΑΝΘΟΠΟΥΛΟΥ</t>
  </si>
  <si>
    <t>ΑΖ295471</t>
  </si>
  <si>
    <t>ΑΗ892293</t>
  </si>
  <si>
    <t>ΓΕΛΑΔΑΡΗ</t>
  </si>
  <si>
    <t>ΑΕ668045</t>
  </si>
  <si>
    <t>ΑΟ260579</t>
  </si>
  <si>
    <t>ΤΣΙΝΤΕΑ</t>
  </si>
  <si>
    <t>ΟΥΡΑΝΙΑ ΧΡΙΣΤΙΝΑ</t>
  </si>
  <si>
    <t>ΑΙ589562</t>
  </si>
  <si>
    <t>ΧΙΩΝΗ</t>
  </si>
  <si>
    <t>Φ062699</t>
  </si>
  <si>
    <t>ΣΤΡΕΜΠΑ</t>
  </si>
  <si>
    <t>ΑΑ773414</t>
  </si>
  <si>
    <t>ΛΥΜΠΕΡΗ</t>
  </si>
  <si>
    <t>ΑΚ719685</t>
  </si>
  <si>
    <t>ΜΑΥΡΟΕΙΔΗ</t>
  </si>
  <si>
    <t xml:space="preserve">ΙΩΑΝΝΗΣ </t>
  </si>
  <si>
    <t>ΑΜ485110</t>
  </si>
  <si>
    <t>ΚΟΥΜΕΣΟΥ</t>
  </si>
  <si>
    <t>ΑΒ048290</t>
  </si>
  <si>
    <t xml:space="preserve">AΓΓΕΛΙΝΑ </t>
  </si>
  <si>
    <t>ΑΗ729023</t>
  </si>
  <si>
    <t>ΜΠΙΝΙΚΟΥ</t>
  </si>
  <si>
    <t>ΑΒ173644</t>
  </si>
  <si>
    <t>ΑΝ750251</t>
  </si>
  <si>
    <t>ΑΚ503818</t>
  </si>
  <si>
    <t>ΠΑΠΑΓΕΡΙΔΟΥ</t>
  </si>
  <si>
    <t>ΑΖ792982</t>
  </si>
  <si>
    <t>ΚΑΚΑΛΕ</t>
  </si>
  <si>
    <t>Χ392560</t>
  </si>
  <si>
    <t>ΛΩΛΗ</t>
  </si>
  <si>
    <t>ΑΖ240504</t>
  </si>
  <si>
    <t>ΓΚΟΥΒΑ</t>
  </si>
  <si>
    <t>ΚΩΝΣΤΑΝΤΟΥΛΑ</t>
  </si>
  <si>
    <t>ΑΒ773363</t>
  </si>
  <si>
    <t>ΡΑΠΤΗ</t>
  </si>
  <si>
    <t>Χ211526</t>
  </si>
  <si>
    <t>ΑΝ573189</t>
  </si>
  <si>
    <t>ΔΟΥΣΕΜΕΡΤΖΗ</t>
  </si>
  <si>
    <t>Σ353247</t>
  </si>
  <si>
    <t>ΚΑΜΜΕΝΗ</t>
  </si>
  <si>
    <t>ΑΕ402511</t>
  </si>
  <si>
    <t>ΑΖ197256</t>
  </si>
  <si>
    <t>ΑΕ814904</t>
  </si>
  <si>
    <t>ΚΟΡΚΟΝΤΖΕΛΟΥ</t>
  </si>
  <si>
    <t>Ξ755791</t>
  </si>
  <si>
    <t>ΨΥΛΛΙΔΟΥ</t>
  </si>
  <si>
    <t>Χ371342</t>
  </si>
  <si>
    <t>Χ729567</t>
  </si>
  <si>
    <t>ΧΑΤΖΗΚΥΡΙΑΚΟΥ</t>
  </si>
  <si>
    <t>ΑΟ234563</t>
  </si>
  <si>
    <t>ΤΣΙΑΚΑ</t>
  </si>
  <si>
    <t>ΑΖ262352</t>
  </si>
  <si>
    <t>ΠΡΑΤΑΝΟΥ</t>
  </si>
  <si>
    <t>ΑΙ708325</t>
  </si>
  <si>
    <t>ΜΟΥΓΚΑΣΗ</t>
  </si>
  <si>
    <t>ΑΙ686275</t>
  </si>
  <si>
    <t>ΑΙ209557</t>
  </si>
  <si>
    <t>ΠΑΡΑΣΚΕΥΑ</t>
  </si>
  <si>
    <t>ΙΩΑΝΗΗΣ</t>
  </si>
  <si>
    <t>ΑΙ163169</t>
  </si>
  <si>
    <t>ΑΔΑΜΟΥ</t>
  </si>
  <si>
    <t>ΑΝ329075</t>
  </si>
  <si>
    <t>ΑΕ698299</t>
  </si>
  <si>
    <t>ΣΟΥΒΛΑ</t>
  </si>
  <si>
    <t>ΑΕ964550</t>
  </si>
  <si>
    <t>ΤΣΕΛΕΠ ΟΣΜΑΝ</t>
  </si>
  <si>
    <t>ΧΑΣΑΝ</t>
  </si>
  <si>
    <t>ΧΟΥΣΕΙΝ</t>
  </si>
  <si>
    <t>ΑΝ398553</t>
  </si>
  <si>
    <t>ΧΑΤΣΙΟΥ</t>
  </si>
  <si>
    <t>ΑΗ320061</t>
  </si>
  <si>
    <t>ΠΑΡΑΣΚΑΚΗ</t>
  </si>
  <si>
    <t>ΑΙ467426</t>
  </si>
  <si>
    <t>ΣΙΜΗΤΑ</t>
  </si>
  <si>
    <t>ΑΙ296542</t>
  </si>
  <si>
    <t>ΠΑΠΑΝΩΤΑ</t>
  </si>
  <si>
    <t>ΑΕ845746</t>
  </si>
  <si>
    <t>ΚΑΤΩΤΟΙΚΙΔΟΥ</t>
  </si>
  <si>
    <t>ΛΕΜΟΝΙΑ</t>
  </si>
  <si>
    <t>Τ374566</t>
  </si>
  <si>
    <t>ΜΑΥΡΟΥΔΗΣ</t>
  </si>
  <si>
    <t>ΑΜ680706</t>
  </si>
  <si>
    <t>ΓΚΡΟΣ</t>
  </si>
  <si>
    <t>Χ648594</t>
  </si>
  <si>
    <t>ΠΑΠΑΓΙΑΝΝΗ</t>
  </si>
  <si>
    <t>ΑΜ610579</t>
  </si>
  <si>
    <t>ΦΡΑΓΚΙΣΚΑΤΟΥ</t>
  </si>
  <si>
    <t>ΣΑΒΒΟΥΛΑ</t>
  </si>
  <si>
    <t>ΑΙ200952</t>
  </si>
  <si>
    <t>ΓΡΑΙΚΟΥ</t>
  </si>
  <si>
    <t>ΑΝΔΡΕΑΣ ΓΕΩΡΓΙΟΣ</t>
  </si>
  <si>
    <t>ΑΖ756724</t>
  </si>
  <si>
    <t>ΚΟΝΤΑΞΑΚΗ</t>
  </si>
  <si>
    <t>ΑΕ092742</t>
  </si>
  <si>
    <t>ΑΜ398659</t>
  </si>
  <si>
    <t>ΡΑΓΙΟΥ</t>
  </si>
  <si>
    <t>Ρ874826</t>
  </si>
  <si>
    <t>ΑΝ349193</t>
  </si>
  <si>
    <t>ΣΑΡΡΗ</t>
  </si>
  <si>
    <t>ΑΝΑΣΤΑΣΙΑ ΜΑΡΙΑ</t>
  </si>
  <si>
    <t>ΑΙ150058</t>
  </si>
  <si>
    <t>ΑΚ025898</t>
  </si>
  <si>
    <t>ΔΡΑΓΑΣΙΑ</t>
  </si>
  <si>
    <t>ΑΟ225818</t>
  </si>
  <si>
    <t>ΑΙ376555</t>
  </si>
  <si>
    <t>ΠΑΡΤΟΥΛΑ</t>
  </si>
  <si>
    <t>ΑΝΝΕΤΑ</t>
  </si>
  <si>
    <t>ΑΜ415022</t>
  </si>
  <si>
    <t>ΑΖ888204</t>
  </si>
  <si>
    <t>ΓΙΟΡΤΑΜΕΛΗ</t>
  </si>
  <si>
    <t>Ρ265303</t>
  </si>
  <si>
    <t>ΛΑΜΠΡΟΥ</t>
  </si>
  <si>
    <t>ΑΝ290321</t>
  </si>
  <si>
    <t>ΚΟΙΝΗ</t>
  </si>
  <si>
    <t>ΑΝ797532</t>
  </si>
  <si>
    <t>ΑΟ253509</t>
  </si>
  <si>
    <t>ΑΖ799116</t>
  </si>
  <si>
    <t>ΤΑΚΚΟΥ</t>
  </si>
  <si>
    <t>ΑΖ814284</t>
  </si>
  <si>
    <t>ΚΟΤΣΩΝΗ</t>
  </si>
  <si>
    <t>Ξ750453</t>
  </si>
  <si>
    <t>ΙΝΤΖΙΡΤΖΗ</t>
  </si>
  <si>
    <t>ΑΖ625366</t>
  </si>
  <si>
    <t>ΓΑΒΡΙΗΛΟΓΛΟΥ</t>
  </si>
  <si>
    <t>ΑΖ887917</t>
  </si>
  <si>
    <t>ΚΑΡΦΕΝΙΑ</t>
  </si>
  <si>
    <t>ΑΕ990249</t>
  </si>
  <si>
    <t>ΤΣΙΟΥΛΑ</t>
  </si>
  <si>
    <t>ΑΗ186395</t>
  </si>
  <si>
    <t>ΡΟΥΣΗ</t>
  </si>
  <si>
    <t>ΑΜ117911</t>
  </si>
  <si>
    <t>ΙΑΤΡΟΠΟΥΛΟΥ</t>
  </si>
  <si>
    <t>ΑΒ075685</t>
  </si>
  <si>
    <t>ΣΟΦΙΕΛΗ</t>
  </si>
  <si>
    <t>Φ160341</t>
  </si>
  <si>
    <t>ΔΡΑΝΙΔΗ</t>
  </si>
  <si>
    <t>ΕΣΘΗΡ</t>
  </si>
  <si>
    <t>Χ091651</t>
  </si>
  <si>
    <t>ΔΑΣΚΑΛΟΥ</t>
  </si>
  <si>
    <t>Χ480763</t>
  </si>
  <si>
    <t>ΜΠΑΤΑΤΕΓΑ</t>
  </si>
  <si>
    <t>ΑΙ848602</t>
  </si>
  <si>
    <t>ΛΑΜΠΑΔΑΡΗ</t>
  </si>
  <si>
    <t>ΑΒ156160</t>
  </si>
  <si>
    <t>ΣΑΜΑΝΤΑ</t>
  </si>
  <si>
    <t>Χ668008</t>
  </si>
  <si>
    <t>ΟΡΚΟΠΟΥΛΟΥ</t>
  </si>
  <si>
    <t>ΠΑΝΑΓΙΩΤΑ ΗΛΕΚΤΡΑ</t>
  </si>
  <si>
    <t>ΑΜ241272</t>
  </si>
  <si>
    <t>ΑΟ373057</t>
  </si>
  <si>
    <t>ΑΚ413743</t>
  </si>
  <si>
    <t>ΓΚΑΓΚΑΣΤΑΘΗ</t>
  </si>
  <si>
    <t>ΑΡΧΟΝΤΗΣ</t>
  </si>
  <si>
    <t>ΑΖ771004</t>
  </si>
  <si>
    <t>ΡΑΖΗ</t>
  </si>
  <si>
    <t>ΑΡΙΑΝΑ</t>
  </si>
  <si>
    <t>ΑΖ505483</t>
  </si>
  <si>
    <t>ΓΡΗΓΟΡΙΟΥ</t>
  </si>
  <si>
    <t>ΑΝ330974</t>
  </si>
  <si>
    <t>ΓΕΩΡΓΑΚΟΠΟΥΛΟΥ</t>
  </si>
  <si>
    <t>ΠΑΝΩΡΑΙΑ</t>
  </si>
  <si>
    <t>ΑΜ098039</t>
  </si>
  <si>
    <t>ΑΙ394261</t>
  </si>
  <si>
    <t>ΠΕΛΤΕΚΗ</t>
  </si>
  <si>
    <t>ΥΠΑΤΙΑ</t>
  </si>
  <si>
    <t>ΑΝ696643</t>
  </si>
  <si>
    <t>ΜΥΤΑΦΙΔΟΥ</t>
  </si>
  <si>
    <t>ΑΕ081988</t>
  </si>
  <si>
    <t>ΝΤΑΒΡΑΖΟΥ</t>
  </si>
  <si>
    <t>ΝΙΚΗ ΝΕΚΤΑΡΙΑ</t>
  </si>
  <si>
    <t>ΑΚ393225</t>
  </si>
  <si>
    <t>ΑΕ365578</t>
  </si>
  <si>
    <t>ΑΗ682036</t>
  </si>
  <si>
    <t>ΜΑΓΛΕΝΙΔΟΥ</t>
  </si>
  <si>
    <t>ΑΖ819169</t>
  </si>
  <si>
    <t>ΑΗ775213</t>
  </si>
  <si>
    <t>ΔΑΜΚΑΟΥΤΗΣ</t>
  </si>
  <si>
    <t>ΑΕ358006</t>
  </si>
  <si>
    <t>ΑΙ793168</t>
  </si>
  <si>
    <t>ΤΟΤΣΑ</t>
  </si>
  <si>
    <t>ΑΒ870500</t>
  </si>
  <si>
    <t>ΚΟΤΣΑΛΗ</t>
  </si>
  <si>
    <t>ΑΖ261076</t>
  </si>
  <si>
    <t>ΚΡΙΚΑ</t>
  </si>
  <si>
    <t>ΑΖ262434</t>
  </si>
  <si>
    <t>ΚΥΡΑΝΟΥ</t>
  </si>
  <si>
    <t>ΑΕ366254</t>
  </si>
  <si>
    <t>ΜΠΟΥΡΕΞΗ</t>
  </si>
  <si>
    <t>ΑΕ253739</t>
  </si>
  <si>
    <t>ΛΑΛΑΟΥΝΗ</t>
  </si>
  <si>
    <t>Χ530176</t>
  </si>
  <si>
    <t>ΑΗ575343</t>
  </si>
  <si>
    <t>ΚΕΜΕΝΤΖΟΠΟΥΛΟΥ</t>
  </si>
  <si>
    <t>ΠΟΛΥΔΩΡΟΣ</t>
  </si>
  <si>
    <t>ΑΙ718585</t>
  </si>
  <si>
    <t>ΚΟΤΤΑΡΙΔΟΥ</t>
  </si>
  <si>
    <t>ΑΗ815890</t>
  </si>
  <si>
    <t>ΚΙΤΣΗ</t>
  </si>
  <si>
    <t>Ν785233</t>
  </si>
  <si>
    <t>ΠΑΠΑΠΑΝΟΥ</t>
  </si>
  <si>
    <t>ΑΙ105201</t>
  </si>
  <si>
    <t>ΑΡ370446</t>
  </si>
  <si>
    <t>ΑΤΑΛΑΣΙΔΟΥ ΚΑΡΑΝΤΙΝΗ</t>
  </si>
  <si>
    <t>ΑΗ829465</t>
  </si>
  <si>
    <t>ΑΚ918011</t>
  </si>
  <si>
    <t>ΧΡΙΣΤΟΦΟΡΙΔΟΥ</t>
  </si>
  <si>
    <t>ΧΡΙΣΤΟΦΟΡΟΣ</t>
  </si>
  <si>
    <t>ΑΗ884279</t>
  </si>
  <si>
    <t>ΑΚΡΙΒΟΥ</t>
  </si>
  <si>
    <t>ΑΟ362065</t>
  </si>
  <si>
    <t>ΤΣΟΤΡΑ</t>
  </si>
  <si>
    <t>ΑΜ224393</t>
  </si>
  <si>
    <t>ΑΝ182723</t>
  </si>
  <si>
    <t>ΑΗ802307</t>
  </si>
  <si>
    <t>ΣΜΙΤΑΚΗ</t>
  </si>
  <si>
    <t>Χ908681</t>
  </si>
  <si>
    <t>ΑΗ915317</t>
  </si>
  <si>
    <t>ΜΠΡΙΜΗ</t>
  </si>
  <si>
    <t>Σ869551</t>
  </si>
  <si>
    <t>ΠΑΡΠΟΥ</t>
  </si>
  <si>
    <t>ΑΕ342754</t>
  </si>
  <si>
    <t>ΑΙ138622</t>
  </si>
  <si>
    <t>ΚΟΥΡΤΕΛΗ</t>
  </si>
  <si>
    <t>ΑΓΓΕΛΑ</t>
  </si>
  <si>
    <t>ΑΝ411661</t>
  </si>
  <si>
    <t>ΜΑΥΡΟΜΑΤΗ</t>
  </si>
  <si>
    <t>ΑΕ203914</t>
  </si>
  <si>
    <t>ΜΠΙΣΙΡΗ</t>
  </si>
  <si>
    <t>Χ889608</t>
  </si>
  <si>
    <t>ΚΡΙΘΑΡΙΔΟΥ</t>
  </si>
  <si>
    <t>Χ987032</t>
  </si>
  <si>
    <t>ΤΖΩΡΤΖΗ</t>
  </si>
  <si>
    <t>ΑΟ571490</t>
  </si>
  <si>
    <t>ΑΖ345346</t>
  </si>
  <si>
    <t>ΚΑΛΤΕΚΗ</t>
  </si>
  <si>
    <t>ΑΙ847879</t>
  </si>
  <si>
    <t>ΑΡ342743</t>
  </si>
  <si>
    <t>X813866</t>
  </si>
  <si>
    <t>ΜΑΣΟΥΡΗ</t>
  </si>
  <si>
    <t>ΑΖ984154</t>
  </si>
  <si>
    <t>ΑΗ005009</t>
  </si>
  <si>
    <t>ΤΖΙΜΑ</t>
  </si>
  <si>
    <t>ΑΜ354570</t>
  </si>
  <si>
    <t>ΠΕΡΩΝΗ</t>
  </si>
  <si>
    <t>ΑΜ286733</t>
  </si>
  <si>
    <t>ΦΡΕΙΔΕΡΙΚΗ</t>
  </si>
  <si>
    <t>ΑΗ800831</t>
  </si>
  <si>
    <t>ΣΩΤΗΡΙΟΥ</t>
  </si>
  <si>
    <t>ΑΖ348206</t>
  </si>
  <si>
    <t>ΑΙ220433</t>
  </si>
  <si>
    <t>ΤΖΑΒΕΛΛΑ</t>
  </si>
  <si>
    <t>ΑΖ341988</t>
  </si>
  <si>
    <t>ΔΕΣΠΟΥΔΗ</t>
  </si>
  <si>
    <t>ΑΗ845613</t>
  </si>
  <si>
    <t>ΒΑΡΔΙΑΜΠΑΣΗ</t>
  </si>
  <si>
    <t>ΑΒ045883</t>
  </si>
  <si>
    <t>ΡΟΥΣΟΓΙΑΝΝΗ</t>
  </si>
  <si>
    <t>ΑΒ769603</t>
  </si>
  <si>
    <t>ΣΤΕΦΟΥ</t>
  </si>
  <si>
    <t>ΑΙ872398</t>
  </si>
  <si>
    <t>ΜΠΑΤΖΟΓΙΑΝΝΗ</t>
  </si>
  <si>
    <t>ΑΙ885283</t>
  </si>
  <si>
    <t>ΑΗ272329</t>
  </si>
  <si>
    <t>ΛΙΑΠΟΠΟΥΛΟΥ</t>
  </si>
  <si>
    <t>ΑΗ707935</t>
  </si>
  <si>
    <t>ΑΗ272944</t>
  </si>
  <si>
    <t>ΑΚ935116</t>
  </si>
  <si>
    <t>Ρ363836</t>
  </si>
  <si>
    <t>ΝΙΤΣΟΥ</t>
  </si>
  <si>
    <t>ΑΟ327575</t>
  </si>
  <si>
    <t>ΜΠΕΝΤΙΛΑ</t>
  </si>
  <si>
    <t>ΑΖ331106</t>
  </si>
  <si>
    <t>ΑΛΕΞΙΔΟΥ</t>
  </si>
  <si>
    <t>ΑΙ908250</t>
  </si>
  <si>
    <t>ΔΕΛΗΓΙΑΝΝΗ</t>
  </si>
  <si>
    <t>ΑΗ605542</t>
  </si>
  <si>
    <t>ΚΟΥΤΣΟΥΚΗ</t>
  </si>
  <si>
    <t>ΑΕ250855</t>
  </si>
  <si>
    <t>ΠΑΠΠΑ ΤΟΥΡΛΑ</t>
  </si>
  <si>
    <t>ΣΑΝΤΑ</t>
  </si>
  <si>
    <t>ΑΚ397373</t>
  </si>
  <si>
    <t>ΜΠΟΥΤΚΟΒΑΛΗΣ</t>
  </si>
  <si>
    <t>ΑΙ728612</t>
  </si>
  <si>
    <t>ΜΑΡΙΑ ΖΩΗ</t>
  </si>
  <si>
    <t>Χ640423</t>
  </si>
  <si>
    <t>ΒΑΣΙΛIKH</t>
  </si>
  <si>
    <t>ΑΒ016900</t>
  </si>
  <si>
    <t>Σ599950</t>
  </si>
  <si>
    <t>ΕΥΑΓΓΕΛΟΠΟΥΛΟΥ</t>
  </si>
  <si>
    <t>ΑΗ791235</t>
  </si>
  <si>
    <t>ΚΟΥΤΣΜΑΝΗ</t>
  </si>
  <si>
    <t xml:space="preserve">ΕΛΕΝΗ ΓΑΡΥΦΑΛΛΙΑ </t>
  </si>
  <si>
    <t>ΑΗ689129</t>
  </si>
  <si>
    <t>ΧΑΤΖΗΜΑΝΩΛΗ</t>
  </si>
  <si>
    <t>ΑΝΤΡΙΑΝΑ</t>
  </si>
  <si>
    <t>ΑΝ693290</t>
  </si>
  <si>
    <t>ΜΠΑΜΠΑΛΗ</t>
  </si>
  <si>
    <t>ΑΚ785879</t>
  </si>
  <si>
    <t>ΑΜ266676</t>
  </si>
  <si>
    <t>ΤΣΑΓΓΑΛΑ</t>
  </si>
  <si>
    <t>Χ874797</t>
  </si>
  <si>
    <t>ΤΣΑΝΑΚΑ</t>
  </si>
  <si>
    <t>ΠΑΥΛΙΝΑ ΡΑΦΑΗΛΑ</t>
  </si>
  <si>
    <t>ΑΜ364631</t>
  </si>
  <si>
    <t>ΧΑΡΙΣΗ</t>
  </si>
  <si>
    <t>ΑΟ942653</t>
  </si>
  <si>
    <t>ΣΚΟΥΝΑΚΗ</t>
  </si>
  <si>
    <t>ΑΟ800080</t>
  </si>
  <si>
    <t>ΚΟΚΚΙΝΑΚΗ</t>
  </si>
  <si>
    <t>Χ997898</t>
  </si>
  <si>
    <t>ΜΑΡΙΟΒΑ</t>
  </si>
  <si>
    <t>ΑΗ800069</t>
  </si>
  <si>
    <t>ΠΟΓΕΛΗ</t>
  </si>
  <si>
    <t>ΑΙ893732</t>
  </si>
  <si>
    <t>ΑΝΑΝΙΑΔΟΥ</t>
  </si>
  <si>
    <t>ΤΙΜΟΘΕΟΣ</t>
  </si>
  <si>
    <t>ΑΙ199137</t>
  </si>
  <si>
    <t>ΑΖ505964</t>
  </si>
  <si>
    <t>ΝΙΣΤΕΛΚΑ</t>
  </si>
  <si>
    <t>ΑΒ441376</t>
  </si>
  <si>
    <t>Σ901207</t>
  </si>
  <si>
    <t>ΜΑΤΖΑΡΑΚΗ</t>
  </si>
  <si>
    <t>ΑΜ850411</t>
  </si>
  <si>
    <t>ΘΕΟΔΟΥΛΑ</t>
  </si>
  <si>
    <t>ΑΕ142125</t>
  </si>
  <si>
    <t>ΔΑΧΗ</t>
  </si>
  <si>
    <t>Χ449761</t>
  </si>
  <si>
    <t>ΚΑΡΛΑΥΤΗ</t>
  </si>
  <si>
    <t>ΑΚ372501</t>
  </si>
  <si>
    <t>ΧΑΒΔΟΥΛΑ</t>
  </si>
  <si>
    <t>ΑΟ733743</t>
  </si>
  <si>
    <t xml:space="preserve">ΝΙΚΟΛΕΤΑ </t>
  </si>
  <si>
    <t>ΑΖ645415</t>
  </si>
  <si>
    <t>ΚΑΡΑΣΤΑΜΟΥ</t>
  </si>
  <si>
    <t>ΑΜ485442</t>
  </si>
  <si>
    <t>ΖΑΡΒΑΛΗ</t>
  </si>
  <si>
    <t>ΑΚ254701</t>
  </si>
  <si>
    <t>ΚΟΥΡΕΑ</t>
  </si>
  <si>
    <t>ΑΖ143396</t>
  </si>
  <si>
    <t>ΚΑΡΟΥΣΟΥ</t>
  </si>
  <si>
    <t>ΜΑΡΙΑ ΑΝΑΣΤΑΣΙΑ</t>
  </si>
  <si>
    <t>ΑΕ615639</t>
  </si>
  <si>
    <t>ΚΑΣΑΠΗ</t>
  </si>
  <si>
    <t>ΑΝΤΙΟΠΗ</t>
  </si>
  <si>
    <t>ΑΟ764879</t>
  </si>
  <si>
    <t>ΠΑΠΑΝΤΣΙΟΥ</t>
  </si>
  <si>
    <t>ΑΟ413465</t>
  </si>
  <si>
    <t>ΓΟΓΟΛΑ</t>
  </si>
  <si>
    <t>ΑΙ233636</t>
  </si>
  <si>
    <t>ΛΙΟΛΙΟΥ ΑΘΑΝΑΣΟΠΟΥΛΟΥ</t>
  </si>
  <si>
    <t>ΑΖ603251</t>
  </si>
  <si>
    <t>ΑΕ137234</t>
  </si>
  <si>
    <t>ΔΟΥΝΙΑ</t>
  </si>
  <si>
    <t>ΑΒ660303</t>
  </si>
  <si>
    <t>ΦΩΛΟΥ</t>
  </si>
  <si>
    <t>Χ273489</t>
  </si>
  <si>
    <t>ΧΑΤΖΑΚΟΥ</t>
  </si>
  <si>
    <t>ΔΗΜΉΤΡΙΟΣ</t>
  </si>
  <si>
    <t>ΑΚ907358</t>
  </si>
  <si>
    <t>ΒΑΜΒΑΚΟΥ</t>
  </si>
  <si>
    <t>ΑΜ841166</t>
  </si>
  <si>
    <t>ΠΛΕΣΣΑ</t>
  </si>
  <si>
    <t>ΓΕΡΑΣΙΜΙΑ</t>
  </si>
  <si>
    <t>ΑΗ216440</t>
  </si>
  <si>
    <t>ΚΟΚΟΛΑΚΗ</t>
  </si>
  <si>
    <t>ΑΙ456970</t>
  </si>
  <si>
    <t>ΑΒ433451</t>
  </si>
  <si>
    <t>ΜΑΝΑΡΑ</t>
  </si>
  <si>
    <t>ΑΟ631190</t>
  </si>
  <si>
    <t>ΠΑΠΑΛΑΜΠΡΟΠΟΥΛΟΥ</t>
  </si>
  <si>
    <t>ΑΝ516910</t>
  </si>
  <si>
    <t>ΚΑΛΕΜΗ</t>
  </si>
  <si>
    <t>Π433605</t>
  </si>
  <si>
    <t>ΟΥΣΤΑ</t>
  </si>
  <si>
    <t>ΑΝ374829</t>
  </si>
  <si>
    <t>ΡΟΥΠΑ</t>
  </si>
  <si>
    <t>ΜΙΧΑΗΛΙΑ</t>
  </si>
  <si>
    <t>ΑΒ708092</t>
  </si>
  <si>
    <t>ΝΤΟΡΙΖΑ</t>
  </si>
  <si>
    <t>ΑΙ125205</t>
  </si>
  <si>
    <t>ΤΣΙΠΗ</t>
  </si>
  <si>
    <t>ΜΑΞΙΜ</t>
  </si>
  <si>
    <t>ΑΝ625759</t>
  </si>
  <si>
    <t>ΕΜΜΑΝΟΥΕΛΑ</t>
  </si>
  <si>
    <t>ΑΙ938026</t>
  </si>
  <si>
    <t>ΜΠΑΡΟΥΤΣΟΥ</t>
  </si>
  <si>
    <t>Χ434297</t>
  </si>
  <si>
    <t>ΣΑΡΡΑ</t>
  </si>
  <si>
    <t>Σ023187</t>
  </si>
  <si>
    <t>ΤΣΙΟΥΠΡΟΥ</t>
  </si>
  <si>
    <t>ΑΒ445758</t>
  </si>
  <si>
    <t>ΒΑΛΑΣΟΠΟΥΛΟΥ</t>
  </si>
  <si>
    <t>ΒΗΣΣΑΡΙΟΣ</t>
  </si>
  <si>
    <t>ΑΑ431176</t>
  </si>
  <si>
    <t>ΑΙ271037</t>
  </si>
  <si>
    <t>ΚΑΨΗ</t>
  </si>
  <si>
    <t>ΑΚ222901</t>
  </si>
  <si>
    <t>ΑΗ352606</t>
  </si>
  <si>
    <t>ΜΠΑΡΚΑ</t>
  </si>
  <si>
    <t>ΓΙΩΡΓΟΣ</t>
  </si>
  <si>
    <t>ΑΗ221906</t>
  </si>
  <si>
    <t>ΚΟΥΡΑΓΙΟΥ</t>
  </si>
  <si>
    <t>ΑΖ641772</t>
  </si>
  <si>
    <t>ΓΚΟΥΓΚΟΥΡΔΗ</t>
  </si>
  <si>
    <t>ΑΕ924581</t>
  </si>
  <si>
    <t>ΑΒΟΚΑΤΟΥ</t>
  </si>
  <si>
    <t>ΑΖ397758</t>
  </si>
  <si>
    <t>ΒΥΤΙΝΙΔΟΥ</t>
  </si>
  <si>
    <t>ΑΖ907692</t>
  </si>
  <si>
    <t>ΛΙΟΒΑ</t>
  </si>
  <si>
    <t>ΑΗ763062</t>
  </si>
  <si>
    <t>KOYNA</t>
  </si>
  <si>
    <t>ΑΚ069308</t>
  </si>
  <si>
    <t>ΠΑΤΕΡΑ</t>
  </si>
  <si>
    <t>ΑΖ813445</t>
  </si>
  <si>
    <t>ΑΙ176215</t>
  </si>
  <si>
    <t>Ρ 809191</t>
  </si>
  <si>
    <t>ΚΕΡΑΤΣΗ</t>
  </si>
  <si>
    <t>ΚΥΡΙΑΚΟΥΛΑ</t>
  </si>
  <si>
    <t>Χ686867</t>
  </si>
  <si>
    <t>ΜΠΑΡΛΑ</t>
  </si>
  <si>
    <t>ΑΒ077707</t>
  </si>
  <si>
    <t>ΣΤΡΑΒΟΔΗΜΟΥ</t>
  </si>
  <si>
    <t>Σ788408</t>
  </si>
  <si>
    <t>ΤΡΙΤΣΙΝΙΩΤΟΥ</t>
  </si>
  <si>
    <t>ΑΒ321987</t>
  </si>
  <si>
    <t>ΚΙΤΣΟΥ</t>
  </si>
  <si>
    <t>ΑΒ744199</t>
  </si>
  <si>
    <t>ΑΕ270899</t>
  </si>
  <si>
    <t>ΡΟΥΜΠΟΥ</t>
  </si>
  <si>
    <t>ΠΑΤΡΑ ΕΙΡΗΝΗ</t>
  </si>
  <si>
    <t>ΑΚ958438</t>
  </si>
  <si>
    <t>ΠΑΖΑΡΑ</t>
  </si>
  <si>
    <t>Τ065800</t>
  </si>
  <si>
    <t>Χ448285</t>
  </si>
  <si>
    <t>ΣΠΟΡΙΔΟΥ</t>
  </si>
  <si>
    <t>ΑΖ279149</t>
  </si>
  <si>
    <t>ΜΕΛΛΙΟΥ</t>
  </si>
  <si>
    <t>ΑΚ983045</t>
  </si>
  <si>
    <t>ΚΟΣΜΙΔΗ</t>
  </si>
  <si>
    <t>ΑΜ228007</t>
  </si>
  <si>
    <t>ΜΙΣΚΟΥ</t>
  </si>
  <si>
    <t>ΑΖ309930</t>
  </si>
  <si>
    <t>ΑΟ327598</t>
  </si>
  <si>
    <t>ΓΕΡΑΚΗ</t>
  </si>
  <si>
    <t>ΧΡΙΣΤΟΔΟΥΛΟΣ</t>
  </si>
  <si>
    <t>ΑΒ359140</t>
  </si>
  <si>
    <t>ΠΟΛΙΟΥ</t>
  </si>
  <si>
    <t xml:space="preserve"> ΕΛΛΗ</t>
  </si>
  <si>
    <t>ΝΙΚΗΦΟΡΟΣ</t>
  </si>
  <si>
    <t>ΑΝ986135</t>
  </si>
  <si>
    <t>ΒΛΑΧΟΠΟΥΛΟΥ</t>
  </si>
  <si>
    <t>ΑΕ395560</t>
  </si>
  <si>
    <t>ΑΒ707225</t>
  </si>
  <si>
    <t>ΑΖ467709</t>
  </si>
  <si>
    <t>ΓΚΥΘΩΝΑ</t>
  </si>
  <si>
    <t>ΑΚΡΙΒΗ</t>
  </si>
  <si>
    <t>ΑΕ315282</t>
  </si>
  <si>
    <t>Φ055665</t>
  </si>
  <si>
    <t>ΧΛΙΑΡΑ</t>
  </si>
  <si>
    <t>Τ372160</t>
  </si>
  <si>
    <t>ΜΗΝΟΥ</t>
  </si>
  <si>
    <t>ΑΙ877526</t>
  </si>
  <si>
    <t>ΤΟΧΟΥΜΤΖΗ</t>
  </si>
  <si>
    <t>ΑΖ645133</t>
  </si>
  <si>
    <t>ΛΑΛΟΥ</t>
  </si>
  <si>
    <t>ΑΡΧΟΝΤΟΥΛΑ</t>
  </si>
  <si>
    <t>Ρ280032</t>
  </si>
  <si>
    <t>ΑΜ825868</t>
  </si>
  <si>
    <t>ΝΕΛΛΑ</t>
  </si>
  <si>
    <t>Τ268320</t>
  </si>
  <si>
    <t>ΧΑΡΙΤΟΥ</t>
  </si>
  <si>
    <t>ΑΟ803317</t>
  </si>
  <si>
    <t>ΑΕ735662</t>
  </si>
  <si>
    <t>ΣΥΡΙΓΟΥ</t>
  </si>
  <si>
    <t>Ρ294827</t>
  </si>
  <si>
    <t>ΜΑΚΑΡΟΝΑ</t>
  </si>
  <si>
    <t>ΜΑΛΑΜΑ</t>
  </si>
  <si>
    <t>ΑΙ481238</t>
  </si>
  <si>
    <t>ΖΑΠΑΤΙΝΑ</t>
  </si>
  <si>
    <t>ΦΙΛΙΠΠΙΑ</t>
  </si>
  <si>
    <t>ΑΖ122551</t>
  </si>
  <si>
    <t>ΚΑΜΠΑ</t>
  </si>
  <si>
    <t>ΑΖ559021</t>
  </si>
  <si>
    <t>ΚΕΧΑΓΙΑ</t>
  </si>
  <si>
    <t>ΣΤΈΡΓΙΟΣ</t>
  </si>
  <si>
    <t>ΑΜ822864</t>
  </si>
  <si>
    <t>ΜΑΣΤΟΡΟΔΗΜΟΥ</t>
  </si>
  <si>
    <t>ΑΚ964261</t>
  </si>
  <si>
    <t>ΑΚ901153</t>
  </si>
  <si>
    <t>ΣΜΠΥΡΑΚΗ</t>
  </si>
  <si>
    <t>Χ494737</t>
  </si>
  <si>
    <t>ΚΟΣΠΑΝΤΣΙΔΟΥ</t>
  </si>
  <si>
    <t>ΑΖ924658</t>
  </si>
  <si>
    <t>ΑΜ295297</t>
  </si>
  <si>
    <t>ΑΙ660229</t>
  </si>
  <si>
    <t>ΑΕ509286</t>
  </si>
  <si>
    <t>ΑΝ709330</t>
  </si>
  <si>
    <t>ΤΖΑΓΚΑ</t>
  </si>
  <si>
    <t>ΑΗ356845</t>
  </si>
  <si>
    <t>ΣΧΟΙΝΑΡΑΚΗ</t>
  </si>
  <si>
    <t>ΑΖ966334</t>
  </si>
  <si>
    <t>ΑΠΟΣΤΟΛΑΚΗ</t>
  </si>
  <si>
    <t>ΑΙ257543</t>
  </si>
  <si>
    <t>ΔΑΡΔΟΥΜΑ</t>
  </si>
  <si>
    <t>ΑΕ987194</t>
  </si>
  <si>
    <t>ΓΙΑΝΝΑΤΟΥ</t>
  </si>
  <si>
    <t>ΑΖ090944</t>
  </si>
  <si>
    <t>ΡΑΦΤΗ</t>
  </si>
  <si>
    <t>ΑΙ816098</t>
  </si>
  <si>
    <t>ΟΛΕΝΟΓΛΟΥ</t>
  </si>
  <si>
    <t>ΑΜ153394</t>
  </si>
  <si>
    <t>ΚΥΠΡΙΑΝΟΥ</t>
  </si>
  <si>
    <t>ΑΒ320328</t>
  </si>
  <si>
    <t>ΑΙ455185</t>
  </si>
  <si>
    <t>ΠΑΡΑΣΧΟΥ</t>
  </si>
  <si>
    <t>ΑΚ053824</t>
  </si>
  <si>
    <t>ΚΟΤΣΟΓΛΟΥ</t>
  </si>
  <si>
    <t>ΑΖ907087</t>
  </si>
  <si>
    <t>ΚΥΡΙΑΚΙΔΗΣ</t>
  </si>
  <si>
    <t>ΙΣΑΑΚ</t>
  </si>
  <si>
    <t>ΑΝ762523</t>
  </si>
  <si>
    <t>ΚΑΡΙΜΠΑ</t>
  </si>
  <si>
    <t>ΖΩΗΣ</t>
  </si>
  <si>
    <t>ΑΜ755235</t>
  </si>
  <si>
    <t>ΘΕΟΔΩΡΙΔΗ</t>
  </si>
  <si>
    <t>ΑΖ821829</t>
  </si>
  <si>
    <t>ΤΣΑΚΥΡΟΓΛΟΥ</t>
  </si>
  <si>
    <t>ΑΜ274515</t>
  </si>
  <si>
    <t>ΤΣΙΧΛΑΚΗ</t>
  </si>
  <si>
    <t xml:space="preserve">ΜΑΡΙΑ ΕΛΕΥΘΕΡΙΑ </t>
  </si>
  <si>
    <t>ΑΙ971726</t>
  </si>
  <si>
    <t>ΧΑΤΖΗΑΠΟΣΤΟΛΟΥ</t>
  </si>
  <si>
    <t>Χ887557</t>
  </si>
  <si>
    <t>ΦΩΤΕΙΝΑΚΗ</t>
  </si>
  <si>
    <t>ΑΜ771363</t>
  </si>
  <si>
    <t>ΜΑΓΚΟΥΤΑ</t>
  </si>
  <si>
    <t>ΑΖ477175</t>
  </si>
  <si>
    <t>ΑΚ886412</t>
  </si>
  <si>
    <t>ΓΑΣΠΑΡΙΝΑΤΟΥ</t>
  </si>
  <si>
    <t>ΑΒ756575</t>
  </si>
  <si>
    <t>ΝΟΝΟΓΛΟΥ</t>
  </si>
  <si>
    <t>ΑΗ279033</t>
  </si>
  <si>
    <t>ΑΒ384314</t>
  </si>
  <si>
    <t>ΠΙΣΚΙΛΟΠΟΥΛΟΥ</t>
  </si>
  <si>
    <t>ΑΟ277685</t>
  </si>
  <si>
    <t>Μ746333</t>
  </si>
  <si>
    <t>ΔΕΛΙΟΥ</t>
  </si>
  <si>
    <t>AΠΟΣΤΟΛΟΣ</t>
  </si>
  <si>
    <t>ΑΟ207513</t>
  </si>
  <si>
    <t>ΠΑΠΑΠΑΥΛΟΥ</t>
  </si>
  <si>
    <t>ΠΕΡΣΕΦΩΝΗ</t>
  </si>
  <si>
    <t>ΑΒ177007</t>
  </si>
  <si>
    <t>ΤΑΣΙΚΑ</t>
  </si>
  <si>
    <t>ΑΖ300585</t>
  </si>
  <si>
    <t>ΚΑΛΤΑΣΗ</t>
  </si>
  <si>
    <t>ΑΗ767215</t>
  </si>
  <si>
    <t>ΧΑΧΛΙΟΥΤΑΚΗ</t>
  </si>
  <si>
    <t>ΧΡΥΣΗ ΕΙΡΗΝΗ</t>
  </si>
  <si>
    <t>Χ849654</t>
  </si>
  <si>
    <t>ΑΒ585531</t>
  </si>
  <si>
    <t>ΑΕ696813</t>
  </si>
  <si>
    <t>ΣΚΟΥΠΡΑΣ</t>
  </si>
  <si>
    <t>ΑΗ825670</t>
  </si>
  <si>
    <t>ΓΚΙΟΥΡΟΥ</t>
  </si>
  <si>
    <t>ΑΙ349963</t>
  </si>
  <si>
    <t>ΒΑΖΗ</t>
  </si>
  <si>
    <t>ΑΝ338802</t>
  </si>
  <si>
    <t>ΜΑΛΑΓΚΟΥΡΑ</t>
  </si>
  <si>
    <t>ΑΝΔΡΕΑΝΑ</t>
  </si>
  <si>
    <t>ΑΑ466975</t>
  </si>
  <si>
    <t>ΑΖ887388</t>
  </si>
  <si>
    <t>ΚΥΛΙΑΚΟΥΔΗΣ</t>
  </si>
  <si>
    <t>ΑΜ203280</t>
  </si>
  <si>
    <t>ΝΟΕΑ</t>
  </si>
  <si>
    <t>ΑΕ510758</t>
  </si>
  <si>
    <t>ΑΙ323595</t>
  </si>
  <si>
    <t>ΑΖ322024</t>
  </si>
  <si>
    <t>ΜΠΑΜΗ</t>
  </si>
  <si>
    <t>ΑΛΕΚΟΣ</t>
  </si>
  <si>
    <t>ΑΚ534538</t>
  </si>
  <si>
    <t>ΚΑΡΑΣΜΑΝΑΚΗ</t>
  </si>
  <si>
    <t>ΑΒ925956</t>
  </si>
  <si>
    <t>ΤΣΑΜΠΑ</t>
  </si>
  <si>
    <t>ΑΝ801351</t>
  </si>
  <si>
    <t>ΓΚΟΡΤΣΙΟΥ</t>
  </si>
  <si>
    <t>ΑΖ832395</t>
  </si>
  <si>
    <t>ΝΑΛΠΑΝΤΙΔΟΥ</t>
  </si>
  <si>
    <t>ΑΟ158342</t>
  </si>
  <si>
    <t>ΑΛΜΠΕΡΤΟΥ</t>
  </si>
  <si>
    <t>ΑΑ243641</t>
  </si>
  <si>
    <t>ΚΟΚΚΙΝΕΛΛΗ</t>
  </si>
  <si>
    <t>ΕΥΛΑΜΠΙΑ</t>
  </si>
  <si>
    <t>Λ786373</t>
  </si>
  <si>
    <t>ΣΙΑΛΒΕΡΑ</t>
  </si>
  <si>
    <t>ΛΑΖΑΡΟΣ ΚΛΕΙΤΟΣ</t>
  </si>
  <si>
    <t>ΑΒ434038</t>
  </si>
  <si>
    <t>ΑΙ714157</t>
  </si>
  <si>
    <t>ΜΑΥΡΟΓΕΝΝΙΔΟΥ</t>
  </si>
  <si>
    <t>ΑΕ816000</t>
  </si>
  <si>
    <t>ΚΟΥΓΙΟΥΜΤΖΙΔΟΥ</t>
  </si>
  <si>
    <t>ΑΜ409445</t>
  </si>
  <si>
    <t>ΛΙΑΚΟΣ</t>
  </si>
  <si>
    <t>ΔΗΗΜΗΤΡΙΟΣ</t>
  </si>
  <si>
    <t>Σ089719</t>
  </si>
  <si>
    <t>ΑΙ404590</t>
  </si>
  <si>
    <t>ΠΥΡΛΗ</t>
  </si>
  <si>
    <t>Φ244548</t>
  </si>
  <si>
    <t>ΜΠΕΙΚΟΥ</t>
  </si>
  <si>
    <t>ΑΖ290587</t>
  </si>
  <si>
    <t>ΚΟΡΝΑΡΟΠΟΥΛΟΥ</t>
  </si>
  <si>
    <t>ΑΟ455452</t>
  </si>
  <si>
    <t>ΦΡΟΥΝΤΑ</t>
  </si>
  <si>
    <t>ΑΒ380086</t>
  </si>
  <si>
    <t>ΣΤΑΥΓΙΑΝΟΥΔΑΚΗ</t>
  </si>
  <si>
    <t>ΜΑΛΑΜΑΤΕΝΙΑ</t>
  </si>
  <si>
    <t>Χ461249</t>
  </si>
  <si>
    <t>ΣΟΦΙΑΝΟΥ</t>
  </si>
  <si>
    <t>ΑΚ029616</t>
  </si>
  <si>
    <t>ΚΩΝΣΤΑΝΤΑΤΟΥ ΒΑΣΙΛΑΚΗ</t>
  </si>
  <si>
    <t>ΑΚ026864</t>
  </si>
  <si>
    <t>ΚΟΥΣΤΙΑΝΗ</t>
  </si>
  <si>
    <t>ΑΑ942198</t>
  </si>
  <si>
    <t>ΓΚΑΡΕΛΗ</t>
  </si>
  <si>
    <t>ΡΟΙΔΟΥΛΑ</t>
  </si>
  <si>
    <t>ΑΖ820909</t>
  </si>
  <si>
    <t>ΛΥΝΤΙΑ</t>
  </si>
  <si>
    <t>ΑΕ929179</t>
  </si>
  <si>
    <t>ΣΑΜΑΡΑ</t>
  </si>
  <si>
    <t>ΑΟ351954</t>
  </si>
  <si>
    <t>ΝΗΣΤΙΚΑΚΗ</t>
  </si>
  <si>
    <t>ΑΙ942722</t>
  </si>
  <si>
    <t>ΑΡΒΑΝΙΤΙΔΟΥ</t>
  </si>
  <si>
    <t>ΑΜ104028</t>
  </si>
  <si>
    <t>ΣΟΥΛΑΝΤΩΝΗ</t>
  </si>
  <si>
    <t>ΑΒ283879</t>
  </si>
  <si>
    <t>ΚΑΡΠΑΘΙΩΤΑΚΗ</t>
  </si>
  <si>
    <t>ΑΟ427550</t>
  </si>
  <si>
    <t>ΨΕΙΡΑ</t>
  </si>
  <si>
    <t>ΑΖ405125</t>
  </si>
  <si>
    <t>ΞΕΚΟΥΚΟΥΛΩΤΑΚΗ</t>
  </si>
  <si>
    <t>ΑΜ977668</t>
  </si>
  <si>
    <t>ΝΙΚΟΛΗ</t>
  </si>
  <si>
    <t xml:space="preserve">ΠΕΛΑΓΙΑ </t>
  </si>
  <si>
    <t>ΑΚ197705</t>
  </si>
  <si>
    <t>ΑΓΓΕΛΟΠΟΥΛΟΥ ΠΑΠΑΔΟΠΟΥΛΟΥ</t>
  </si>
  <si>
    <t>ΑΙ984943</t>
  </si>
  <si>
    <t>ΣΙΩΜΟΥ</t>
  </si>
  <si>
    <t>ΑΑ870530</t>
  </si>
  <si>
    <t>ΕΜΕΡΕΤΛΗ</t>
  </si>
  <si>
    <t>ΤΑΤΙΑΝΑ</t>
  </si>
  <si>
    <t>ΑΑ269166</t>
  </si>
  <si>
    <t>ΑΑ397333</t>
  </si>
  <si>
    <t>Σ779873</t>
  </si>
  <si>
    <t>ΜΠΟΥΤΣΗ</t>
  </si>
  <si>
    <t>ΑΑ789674</t>
  </si>
  <si>
    <t>ΑΗ492168</t>
  </si>
  <si>
    <t>ΔΑΜΙΑΝΙΔΟΥ</t>
  </si>
  <si>
    <t>ΑΗ412956</t>
  </si>
  <si>
    <t>Ρ320431</t>
  </si>
  <si>
    <t>ΤΣΔΟΥΚΛΟΥΚΗ</t>
  </si>
  <si>
    <t>ΑΝ789645</t>
  </si>
  <si>
    <t>ΦΩΤΙΟΥ</t>
  </si>
  <si>
    <t>Χ457642</t>
  </si>
  <si>
    <t>ΜΠΛΟΥΝΑ</t>
  </si>
  <si>
    <t>ΑΙ981105</t>
  </si>
  <si>
    <t>Ρ317736</t>
  </si>
  <si>
    <t>ΦΥΤΑ</t>
  </si>
  <si>
    <t>ΑΗ122925</t>
  </si>
  <si>
    <t>ΚΕΤΟΓΛΟΥ</t>
  </si>
  <si>
    <t>ΑΒ723797</t>
  </si>
  <si>
    <t>ΣΗΜΕΛΑ</t>
  </si>
  <si>
    <t>ΑΑ412124</t>
  </si>
  <si>
    <t>ΑΚ310430</t>
  </si>
  <si>
    <t>ΑΣΠΡΟΠΟΥΛΟΥ</t>
  </si>
  <si>
    <t>ΑΕ763554</t>
  </si>
  <si>
    <t>ΚΟΓΙΑ</t>
  </si>
  <si>
    <t>ΑΑ235535</t>
  </si>
  <si>
    <t>ΠΑΤΑΡΙΔΟΥ</t>
  </si>
  <si>
    <t>ΑΜ874148</t>
  </si>
  <si>
    <t>ΖΑΠΟΥΛΙΔΟΥ</t>
  </si>
  <si>
    <t>ΑΝ744651</t>
  </si>
  <si>
    <t>ΑΟ410189</t>
  </si>
  <si>
    <t>ΖΑΦΕΙΡΩ</t>
  </si>
  <si>
    <t>ΑΟ269526</t>
  </si>
  <si>
    <t>ΦΟΥΡΛΗ</t>
  </si>
  <si>
    <t>ΑΑ225844</t>
  </si>
  <si>
    <t>ΘΕΟΔΟΣΙΑ</t>
  </si>
  <si>
    <t>ΑΗ886326</t>
  </si>
  <si>
    <t>ΑΚ104481</t>
  </si>
  <si>
    <t>ΓΑΛΑΝΑΚΟΠΟΥΛΟΥ</t>
  </si>
  <si>
    <t>ΑΚ343166</t>
  </si>
  <si>
    <t>ΑΜ283339</t>
  </si>
  <si>
    <t>ΧΕΚΙΜΙΔΗ</t>
  </si>
  <si>
    <t>Χ503953</t>
  </si>
  <si>
    <t>ΑΚ020039</t>
  </si>
  <si>
    <t>ΜΑΝΔΑΛΑ</t>
  </si>
  <si>
    <t>ΑΗ522637</t>
  </si>
  <si>
    <t>ΚΟΝΤΑΞΗ</t>
  </si>
  <si>
    <t>ΑΖ204138</t>
  </si>
  <si>
    <t>ΦΟΥΛΟΥΛΗ</t>
  </si>
  <si>
    <t>ΑΕ315164</t>
  </si>
  <si>
    <t>ΚΑΛΠΙΑ</t>
  </si>
  <si>
    <t>ΑΒ102227</t>
  </si>
  <si>
    <t>Χ897671</t>
  </si>
  <si>
    <t>ΓΟΥΛΤΙΔΟΥ</t>
  </si>
  <si>
    <t>ΑΕ847067</t>
  </si>
  <si>
    <t>ΜΟΥΤΣΟΠΟΥΛΟΥ</t>
  </si>
  <si>
    <t>Χ758369</t>
  </si>
  <si>
    <t>ΚΑΠΟΥΡΓΙΑΝΝΙΔΟΥ</t>
  </si>
  <si>
    <t>ΑΡ280051</t>
  </si>
  <si>
    <t>ΠΕΡΡΑΚΗ</t>
  </si>
  <si>
    <t>ΑΚ710625</t>
  </si>
  <si>
    <t>ΑΓΓΕΛΙΝΑ</t>
  </si>
  <si>
    <t>ΑΚ336805</t>
  </si>
  <si>
    <t>ΑΗ206273</t>
  </si>
  <si>
    <t>ΖΩΓΟΠΟΥΛΟΥ</t>
  </si>
  <si>
    <t>ΑΚ828597</t>
  </si>
  <si>
    <t>ΧΑΔΙΝΗ</t>
  </si>
  <si>
    <t>ΑΙ314348</t>
  </si>
  <si>
    <t>Π443267</t>
  </si>
  <si>
    <t>ΑΝ345489</t>
  </si>
  <si>
    <t>ΚΟΛΟΚΟΥΡΗ</t>
  </si>
  <si>
    <t>ΑΚ753644</t>
  </si>
  <si>
    <t>ΑΙ784591</t>
  </si>
  <si>
    <t>Π978743</t>
  </si>
  <si>
    <t>ΣΤΑΣΙΝΟΥ</t>
  </si>
  <si>
    <t>ΑΕ282242</t>
  </si>
  <si>
    <t>ΚΟΚΚΙΝΟΘΑΝΟΠΟΥΛΟΥ</t>
  </si>
  <si>
    <t>ΑΙ290901</t>
  </si>
  <si>
    <t>ΧΑΚΗ</t>
  </si>
  <si>
    <t>ΑΖ653760</t>
  </si>
  <si>
    <t>ΜΠΕΛΛΟΥ</t>
  </si>
  <si>
    <t>ΑΘΑΝΑ</t>
  </si>
  <si>
    <t>ΑΟ219572</t>
  </si>
  <si>
    <t>ΚΟΝΤΟΕ</t>
  </si>
  <si>
    <t>ΑΒ018806</t>
  </si>
  <si>
    <t>ΚΥΖΙΡΙΔΟΥ</t>
  </si>
  <si>
    <t>ΑΕ208253</t>
  </si>
  <si>
    <t>ΠΑΝΟΥΛΑ</t>
  </si>
  <si>
    <t>ΛΕΩΝ</t>
  </si>
  <si>
    <t>ΑΕ409657</t>
  </si>
  <si>
    <t>ΣΙΟΥΜΚΑ</t>
  </si>
  <si>
    <t>Π197296</t>
  </si>
  <si>
    <t>ΧΑΤΑΔΑΚΗ</t>
  </si>
  <si>
    <t>ΑΙ948949</t>
  </si>
  <si>
    <t>ΠΙΠΕΡΤΖΗ</t>
  </si>
  <si>
    <t>Ρ186955</t>
  </si>
  <si>
    <t>Χ891403</t>
  </si>
  <si>
    <t>ΑΕ689395</t>
  </si>
  <si>
    <t>ΣΙΑΔΗΜΑ</t>
  </si>
  <si>
    <t>ΑΙ872555</t>
  </si>
  <si>
    <t>ΤΣΙΠΡΑ</t>
  </si>
  <si>
    <t>ΑΜ981636</t>
  </si>
  <si>
    <t>ΕΥΦΡΑΙΜΙΔΟΥ</t>
  </si>
  <si>
    <t>Φ318496</t>
  </si>
  <si>
    <t>ΛΟΥΓΓΟΥ</t>
  </si>
  <si>
    <t>ΑΖ274699</t>
  </si>
  <si>
    <t>ΜΑΡΚΑΚΗ</t>
  </si>
  <si>
    <t>ΙΩΣΗΦ</t>
  </si>
  <si>
    <t>Χ494698</t>
  </si>
  <si>
    <t>ΑΖ722176</t>
  </si>
  <si>
    <t>ΛΟΦΤΣΑΛΗ</t>
  </si>
  <si>
    <t>ΑΑ869184</t>
  </si>
  <si>
    <t>ΑΒ579240</t>
  </si>
  <si>
    <t>ΜΑΡΓΑΡΗ</t>
  </si>
  <si>
    <t>ΑΝ044564</t>
  </si>
  <si>
    <t>ΚΡΑΝΙΩΤΑΚΗ</t>
  </si>
  <si>
    <t>ΑΚ979283</t>
  </si>
  <si>
    <t>ΧΑΜΗΛΟΥ</t>
  </si>
  <si>
    <t>ΑΟ701813</t>
  </si>
  <si>
    <t>ΠΕΓΚΑ</t>
  </si>
  <si>
    <t>Τ550508</t>
  </si>
  <si>
    <t>ΟΙΚΟΝΟΜΑΚΗ</t>
  </si>
  <si>
    <t>ΜΑΡΙΑ ΠΑΝΑΓΙΩΤΑ</t>
  </si>
  <si>
    <t>ΑΕ070418</t>
  </si>
  <si>
    <t>ΑΑ055023</t>
  </si>
  <si>
    <t>ΘΕΟΔΟΣΙΑΔΟΥ</t>
  </si>
  <si>
    <t>ΑΚ887425</t>
  </si>
  <si>
    <t>ΨΑΡΟΛΟΓΟΥ</t>
  </si>
  <si>
    <t>ΑΘΑΝΑΣΙΑ ΕΛΕΝΗ</t>
  </si>
  <si>
    <t>ΑΕ604239</t>
  </si>
  <si>
    <t>ΔΗΜΗΤΡΑ ΒΑΣΙΛΙΚΗ</t>
  </si>
  <si>
    <t>ΑΒ260053</t>
  </si>
  <si>
    <t>ΤΡΑΝΟΥΔΗ</t>
  </si>
  <si>
    <t>Λ564255</t>
  </si>
  <si>
    <t>ΧΑΡΙΤΙΔΟΥ</t>
  </si>
  <si>
    <t>Μ402269</t>
  </si>
  <si>
    <t>Φ193247</t>
  </si>
  <si>
    <t>ΑΙ509126</t>
  </si>
  <si>
    <t>ΑΜ814123</t>
  </si>
  <si>
    <t>ΤΣΙΑΦΟΥΛΗ</t>
  </si>
  <si>
    <t>ΑΝ855229</t>
  </si>
  <si>
    <t>ΑΟ455340</t>
  </si>
  <si>
    <t>ΜΙΧΑΛΑ</t>
  </si>
  <si>
    <t>Φ456345</t>
  </si>
  <si>
    <t>ΠΙΤΟΥΛΙΑ</t>
  </si>
  <si>
    <t>ΑΜ388046</t>
  </si>
  <si>
    <t>ΑΗ263369</t>
  </si>
  <si>
    <t>ΝΤΖΕΛΒΕ</t>
  </si>
  <si>
    <t>ΑΝ244794</t>
  </si>
  <si>
    <t>ΑΗ426116</t>
  </si>
  <si>
    <t>ΑΕ247192</t>
  </si>
  <si>
    <t>ΜΠΑΛΤΑΤΖΗ</t>
  </si>
  <si>
    <t>Σ315966</t>
  </si>
  <si>
    <t>ΚΑΡΑΝΤΩΝΑ</t>
  </si>
  <si>
    <t>ΑΗ658150</t>
  </si>
  <si>
    <t>ΑΜ421251</t>
  </si>
  <si>
    <t>ΥΦΑΝΤΙΔΟΥ</t>
  </si>
  <si>
    <t>ΑΚ984323</t>
  </si>
  <si>
    <t>ΚΑΤΣΙΡΟΥΜΠΑ</t>
  </si>
  <si>
    <t>ΑΚ336117</t>
  </si>
  <si>
    <t>ΣΑΛΤΕΡΗ</t>
  </si>
  <si>
    <t>ΑΟ886671</t>
  </si>
  <si>
    <t>ΑΗ817689</t>
  </si>
  <si>
    <t>ΑΑ267632</t>
  </si>
  <si>
    <t>ΑΖ379418</t>
  </si>
  <si>
    <t>ΜΠΕΡΤΣΙΑ</t>
  </si>
  <si>
    <t>ΑΖ707014</t>
  </si>
  <si>
    <t>ΑΝΔΡΙΟΠΟΥΛΟΥ</t>
  </si>
  <si>
    <t>ΑΟ319505</t>
  </si>
  <si>
    <t>ΠΥΡΚΑΤΗ</t>
  </si>
  <si>
    <t>Χ699668</t>
  </si>
  <si>
    <t>ΚΑΡΑΜΠΕΛΑ</t>
  </si>
  <si>
    <t>ΑΝ083984</t>
  </si>
  <si>
    <t>ΑΚ980918</t>
  </si>
  <si>
    <t>ΠΕΡΑΚΗ</t>
  </si>
  <si>
    <t>ΣΤΑΥΡΩΤΗ</t>
  </si>
  <si>
    <t>Σ426530</t>
  </si>
  <si>
    <t>ΚΑΠΡΑΛΟΥ</t>
  </si>
  <si>
    <t>ΝΙΚΟΛ</t>
  </si>
  <si>
    <t>ΑΒ273541</t>
  </si>
  <si>
    <t>ΤΣΟΥΠΙΔΗ</t>
  </si>
  <si>
    <t>ΑΟ257911</t>
  </si>
  <si>
    <t>ΑΟ666322</t>
  </si>
  <si>
    <t>ΠΟΛΥΧΡΟΝΟΠΟΥΛΟΥ</t>
  </si>
  <si>
    <t>Ρ515053</t>
  </si>
  <si>
    <t>ΠΑΠΑΧΡΗΣΤΟΥ</t>
  </si>
  <si>
    <t>ΠΡΟΚΟΠΙΟΣ</t>
  </si>
  <si>
    <t>ΑΟ347776</t>
  </si>
  <si>
    <t xml:space="preserve">ΑΝΤΩΝΙΟΣ </t>
  </si>
  <si>
    <t>ΑΗ843364</t>
  </si>
  <si>
    <t>ΝΙΓΚΙΑΡΕ</t>
  </si>
  <si>
    <t>ΜΠΑΙΡΑΜΙ</t>
  </si>
  <si>
    <t>ΜΥΦΙΝΤ</t>
  </si>
  <si>
    <t>ΑΜ879017</t>
  </si>
  <si>
    <t>ΑΜ947311</t>
  </si>
  <si>
    <t>ΔΗΜΗΤΡΑ ΠΑΝΑΓΙΩΤΑ</t>
  </si>
  <si>
    <t>ΑΙ598380</t>
  </si>
  <si>
    <t>ΑΒ136906</t>
  </si>
  <si>
    <t>ΓΑΛΙΩΤΑ</t>
  </si>
  <si>
    <t>ΑΙ331876</t>
  </si>
  <si>
    <t>ΚΩΝΣΤΑΝΤΕΛΛΟΥ</t>
  </si>
  <si>
    <t>ΡΟΖΑ</t>
  </si>
  <si>
    <t>ΑΚ119928</t>
  </si>
  <si>
    <t>ΑΕ957887</t>
  </si>
  <si>
    <t>ΓΚΟΝΤΟΛΙΑ</t>
  </si>
  <si>
    <t>Χ442372</t>
  </si>
  <si>
    <t>ΜΠΕΚΥΡΗ</t>
  </si>
  <si>
    <t>Φ288429</t>
  </si>
  <si>
    <t>ΚΑΛΥΒΙΩΤΗ</t>
  </si>
  <si>
    <t>ΑΝ328420</t>
  </si>
  <si>
    <t>ΑΖ537289</t>
  </si>
  <si>
    <t>ΜΠΟΖΙΟΝΕΛΟΥ</t>
  </si>
  <si>
    <t>ΑΜ341873</t>
  </si>
  <si>
    <t>ΛΙΑΛΙΟΥ</t>
  </si>
  <si>
    <t>Χ751848</t>
  </si>
  <si>
    <t>ΑΜ460446</t>
  </si>
  <si>
    <t>Χ846479</t>
  </si>
  <si>
    <t>ΚΟΕΜΤΖΗΣ</t>
  </si>
  <si>
    <t>ΑΗ818020</t>
  </si>
  <si>
    <t>ΖΛΑΤΙΝΤΣΗ</t>
  </si>
  <si>
    <t>ΑΖ689553</t>
  </si>
  <si>
    <t>ΕΙΚΟΣΙΔΕΚΑ</t>
  </si>
  <si>
    <t>ΑΙ780165</t>
  </si>
  <si>
    <t>ΦΕΛΛΙΟΥ</t>
  </si>
  <si>
    <t>ΑΕ038633</t>
  </si>
  <si>
    <t>ΣΙΣΟΥΡΚΑ</t>
  </si>
  <si>
    <t>ΑΙ341173</t>
  </si>
  <si>
    <t>ΚΕΛΕΚΙΑΝ</t>
  </si>
  <si>
    <t>ΓΕΩΡΓΙΑ ΚΑΣΣΑΝΔΡΑ</t>
  </si>
  <si>
    <t>ΜΕΧΡΑΝ ΓΕΩΡΓΙΟΣ</t>
  </si>
  <si>
    <t>Χ523160</t>
  </si>
  <si>
    <t>ΓΚΟΥΡΤΖΗ</t>
  </si>
  <si>
    <t>ΑΚ446949</t>
  </si>
  <si>
    <t>ΖΑΡΟΓΙΑΝΝΗ</t>
  </si>
  <si>
    <t>ΚΙΜΩΝ</t>
  </si>
  <si>
    <t>ΑΝ348016</t>
  </si>
  <si>
    <t>ΠΡΟΚΟΠΟΥ</t>
  </si>
  <si>
    <t>ΑΝ267753</t>
  </si>
  <si>
    <t>Σ080813</t>
  </si>
  <si>
    <t>ΑΙ320214</t>
  </si>
  <si>
    <t>ΑΛΕΞΙΑΔΗ</t>
  </si>
  <si>
    <t>ΑΕ955630</t>
  </si>
  <si>
    <t>ΚΟΤΣΙΦΑ</t>
  </si>
  <si>
    <t>ΑΜ300296</t>
  </si>
  <si>
    <t>ΚΕΡΑΣΙΛΙΔΟΥ</t>
  </si>
  <si>
    <t>Σ402221</t>
  </si>
  <si>
    <t>ΑΕ180125</t>
  </si>
  <si>
    <t>ΧΝΟΥΔΑ</t>
  </si>
  <si>
    <t>ΑΚ990804</t>
  </si>
  <si>
    <t>ΑΒ105169</t>
  </si>
  <si>
    <t>ΑΗ784802</t>
  </si>
  <si>
    <t>ΜΑΝΟΥΣΙΔΟΥ</t>
  </si>
  <si>
    <t>ΑΖ911058</t>
  </si>
  <si>
    <t>ΑΕ494556</t>
  </si>
  <si>
    <t>ΤΑΤΣΗ</t>
  </si>
  <si>
    <t>ΦΙΛΟΜΗΛΑ</t>
  </si>
  <si>
    <t>ΑΚ382333</t>
  </si>
  <si>
    <t>ΑΙ281166</t>
  </si>
  <si>
    <t>ΑΝΑΓΝΩΣΤΑΚΗ</t>
  </si>
  <si>
    <t>ΑΙ950670</t>
  </si>
  <si>
    <t>ΙΟΡΔΑΝΑ</t>
  </si>
  <si>
    <t>ΑΝ414365</t>
  </si>
  <si>
    <t>ΑΕ093599</t>
  </si>
  <si>
    <t>ΒΑΡΕΛΑ</t>
  </si>
  <si>
    <t>ΑΙ144059</t>
  </si>
  <si>
    <t>ΖΑΦΕΙΡΙΑΔΟΥ</t>
  </si>
  <si>
    <t>ΑΙ179226</t>
  </si>
  <si>
    <t>ΑΑ277384</t>
  </si>
  <si>
    <t>ΑΒ425242</t>
  </si>
  <si>
    <t>ΜΑΓΔΑΛΙΝΗ</t>
  </si>
  <si>
    <t>ΑΝ212937</t>
  </si>
  <si>
    <t>ΚΑΠΟΤΑ</t>
  </si>
  <si>
    <t>ΑΖ706849</t>
  </si>
  <si>
    <t>ΚΑΤΣΑΝΗ</t>
  </si>
  <si>
    <t>Σ234635</t>
  </si>
  <si>
    <t>ΠΕΔΙΑΔΙΤΑΚΗ</t>
  </si>
  <si>
    <t>ΖΑΧΑΡΕΝΙΑ ΝΤΟΡΙΝΑ</t>
  </si>
  <si>
    <t>Σ199992</t>
  </si>
  <si>
    <t>ΠΑΠΑΣΠΥΡΟΥ</t>
  </si>
  <si>
    <t>ΑΕ834507</t>
  </si>
  <si>
    <t>ΑΚΟΥΤΑ</t>
  </si>
  <si>
    <t>Π468215</t>
  </si>
  <si>
    <t>ΑΓΑΠΗΤΟΥ</t>
  </si>
  <si>
    <t>Χ674091</t>
  </si>
  <si>
    <t>ΑΗ467794</t>
  </si>
  <si>
    <t>ΒΗΤΑ</t>
  </si>
  <si>
    <t>ΑΗ291597</t>
  </si>
  <si>
    <t>ΑΚ611782</t>
  </si>
  <si>
    <t>ΣΥΜΙΓΔΑΛΗ</t>
  </si>
  <si>
    <t>ΑΖ698080</t>
  </si>
  <si>
    <t>ΚΟΥΤΣΟΥΚΟΥ</t>
  </si>
  <si>
    <t>Χ985033</t>
  </si>
  <si>
    <t>ΚΑΝΔΗΛΑΡΗ</t>
  </si>
  <si>
    <t>ΑΝ352585</t>
  </si>
  <si>
    <t>ΓΙΑΝΝΑΚΙΔΟΥ</t>
  </si>
  <si>
    <t>ΑΗ786117</t>
  </si>
  <si>
    <t>ΚΑΤΣΙΠΟΔΗ</t>
  </si>
  <si>
    <t>ΑΝ620388</t>
  </si>
  <si>
    <t>ΣΩΤΗΡΗΣ</t>
  </si>
  <si>
    <t>ΑΖ668375</t>
  </si>
  <si>
    <t>ΜΥΚΙΔΟΥ</t>
  </si>
  <si>
    <t>ΑΗ142522</t>
  </si>
  <si>
    <t>ΓΑΡΜΠΗ</t>
  </si>
  <si>
    <t>ΑΙ548128</t>
  </si>
  <si>
    <t>ΕΙΡΗΝΗ ΡΑΦΑΗΛΙΑ</t>
  </si>
  <si>
    <t>ΑΜ123224</t>
  </si>
  <si>
    <t>ΓΕΡΟΠΑΝΤΑ</t>
  </si>
  <si>
    <t>ΜΑΝΘΟΣ</t>
  </si>
  <si>
    <t>ΑΒ018391</t>
  </si>
  <si>
    <t>ΑΚ963664</t>
  </si>
  <si>
    <t>Τ271218</t>
  </si>
  <si>
    <t>ΚΟΥΚΟΥΛΑΡΗ</t>
  </si>
  <si>
    <t>Σ562629</t>
  </si>
  <si>
    <t>ΣΑΒΒΟΠΟΥΛΟΥ</t>
  </si>
  <si>
    <t>ΑΝ428648</t>
  </si>
  <si>
    <t>ΧΑΤΖΑΚΗ</t>
  </si>
  <si>
    <t>ΑΙΚΑΤΕΡΙΝΗ ΠΑΠΑΔΙΑ</t>
  </si>
  <si>
    <t>ΑΙ443381</t>
  </si>
  <si>
    <t>ΚΑΛΛΙΜΑΝΗ</t>
  </si>
  <si>
    <t>ΑΚ286958</t>
  </si>
  <si>
    <t>ΚΑΣΣΑΡΑ</t>
  </si>
  <si>
    <t>ΑΒ389861</t>
  </si>
  <si>
    <t>ΑΑ430353</t>
  </si>
  <si>
    <t>ΚΑΡΑΓΙΑΝΝΑΚΗ</t>
  </si>
  <si>
    <t>ΑΙ064093</t>
  </si>
  <si>
    <t>ΑΖ997616</t>
  </si>
  <si>
    <t>ΚΡΙΑΡΑ</t>
  </si>
  <si>
    <t>ΕΛΒΙΡΑ</t>
  </si>
  <si>
    <t>ΑΜ466694</t>
  </si>
  <si>
    <t>ΜΑΝΔΡΑΒΕΛΗ</t>
  </si>
  <si>
    <t>ΑΜ373096</t>
  </si>
  <si>
    <t>ΚΟΒΛΑΚΑ</t>
  </si>
  <si>
    <t>ΑΕ673871</t>
  </si>
  <si>
    <t>ΕΙΡΗΝΗ ΧΡΥΣΟΒΑΛΛΑΝΤΟ</t>
  </si>
  <si>
    <t>ΑΚ920271</t>
  </si>
  <si>
    <t>ΠΟΛΥΔΩΡΟΠΟΥΛΟΥ</t>
  </si>
  <si>
    <t>ΑΗ072561</t>
  </si>
  <si>
    <t>ΑΗ321991</t>
  </si>
  <si>
    <t>ΜΕΡΚΟΥΡΙΟΥ</t>
  </si>
  <si>
    <t>ΑΒ673979</t>
  </si>
  <si>
    <t>ΣΚΙΝΤΖΗ</t>
  </si>
  <si>
    <t>ΑΑ320656</t>
  </si>
  <si>
    <t>ΣΑΡΑΝΤΙΔΟΥ</t>
  </si>
  <si>
    <t>ΔΟΜΝΑ</t>
  </si>
  <si>
    <t>ΚΛΕΑΡΧΟΣ</t>
  </si>
  <si>
    <t>ΑΒ134454</t>
  </si>
  <si>
    <t>ΕΥΘΥΜΙΟΠΟΥΛΟΥ</t>
  </si>
  <si>
    <t>ΑΙ766111</t>
  </si>
  <si>
    <t>ΣΤΕΓΚΕΒΕΡΘ</t>
  </si>
  <si>
    <t>ΜΠΕΡΝΑΡΝΤ</t>
  </si>
  <si>
    <t>ΑΚ949974</t>
  </si>
  <si>
    <t>ΜΠΑΤΗ</t>
  </si>
  <si>
    <t>Φ109072</t>
  </si>
  <si>
    <t>ΑΚ379701</t>
  </si>
  <si>
    <t>ΑΚ949479</t>
  </si>
  <si>
    <t xml:space="preserve">ΤΑΣΚΑ </t>
  </si>
  <si>
    <t xml:space="preserve">ΖΑΧΑΡΟΎΛΑ </t>
  </si>
  <si>
    <t xml:space="preserve">ΠΈΤΡΟΣ </t>
  </si>
  <si>
    <t>Φ340725</t>
  </si>
  <si>
    <t>ΛΩΛΟΥ</t>
  </si>
  <si>
    <t>Χ640354</t>
  </si>
  <si>
    <t>ΖΙΜΗ</t>
  </si>
  <si>
    <t>ΑΑ259983</t>
  </si>
  <si>
    <t>ΣΑΛΤΑΤΖΟΓΛΟΥ</t>
  </si>
  <si>
    <t>ΑΚ264752</t>
  </si>
  <si>
    <t>ΠΟΛΥΓΕΝΗ</t>
  </si>
  <si>
    <t>Χ915028</t>
  </si>
  <si>
    <t>ΚΟΚΚΟΡΗ</t>
  </si>
  <si>
    <t>ΕΙΡΗΝΗ ΜΑΡΙΝΑ</t>
  </si>
  <si>
    <t>ΑΚ420889</t>
  </si>
  <si>
    <t>ΠΑΠΑΛΕΩΝΙΔΑ</t>
  </si>
  <si>
    <t>Χ145216</t>
  </si>
  <si>
    <t>ΦΙΝΤΑΝΙΔΟΥ</t>
  </si>
  <si>
    <t>ΑΙ869724</t>
  </si>
  <si>
    <t>ΤΣΑΚΙΡΟΓΛΟΥ</t>
  </si>
  <si>
    <t>Σ901341</t>
  </si>
  <si>
    <t>ΣΩΤΗΡΟΥΛΑ</t>
  </si>
  <si>
    <t>Χ800913</t>
  </si>
  <si>
    <t>ΑΚ651218</t>
  </si>
  <si>
    <t>ΤΡΙΚΑ</t>
  </si>
  <si>
    <t>ΑΕ577016</t>
  </si>
  <si>
    <t>ΚΑΡΑΜΟΛΕΓΚΟΥ</t>
  </si>
  <si>
    <t>ΑΗ063461</t>
  </si>
  <si>
    <t>ΔΟΛΑΨΗ</t>
  </si>
  <si>
    <t>ΑΟ658098</t>
  </si>
  <si>
    <t>ΜΑΡΑΓΚΟΥ</t>
  </si>
  <si>
    <t>ΠΑΝΤΕΛΙΝΑ</t>
  </si>
  <si>
    <t>ΑΙ626853</t>
  </si>
  <si>
    <t>ΣΤΑΥΡΕ</t>
  </si>
  <si>
    <t>ΠΑΥΛΟ</t>
  </si>
  <si>
    <t>ΑΟ216473</t>
  </si>
  <si>
    <t>ΧΑΤΖΗΣΤΕΦΑΝΟΥ</t>
  </si>
  <si>
    <t>ΙΩΑΝΝΑ ΣΤΑΥΡΟΥΛΑ</t>
  </si>
  <si>
    <t>ΑΗ448694</t>
  </si>
  <si>
    <t>ΒΛΑΧΟΜΗΤΡΟΥ</t>
  </si>
  <si>
    <t>ΑΙ764375</t>
  </si>
  <si>
    <t>ΑΗ704979</t>
  </si>
  <si>
    <t>ΜΑΝΑΦΑ</t>
  </si>
  <si>
    <t>Π984335</t>
  </si>
  <si>
    <t>ΤΑΓΚΙΝΗ</t>
  </si>
  <si>
    <t>Χ386497</t>
  </si>
  <si>
    <t>Χ617164</t>
  </si>
  <si>
    <t>ΜΠΑΙΜΑ</t>
  </si>
  <si>
    <t>Π931696</t>
  </si>
  <si>
    <t>ΣΑΚΚΑ</t>
  </si>
  <si>
    <t>Ρ234092</t>
  </si>
  <si>
    <t>ΠΑΠΑΔΙΑ</t>
  </si>
  <si>
    <t>ΑΜ483064</t>
  </si>
  <si>
    <t>ΛΙΒΑΝΟΥ</t>
  </si>
  <si>
    <t>ΑΕ719720</t>
  </si>
  <si>
    <t>ΚΟΡΙΖΗ</t>
  </si>
  <si>
    <t>ΑΜ098013</t>
  </si>
  <si>
    <t>ΚΑΡΑΒΑΣΙΛΗ</t>
  </si>
  <si>
    <t>ΔΡΟΣΙΑ</t>
  </si>
  <si>
    <t>ΑΖ823330</t>
  </si>
  <si>
    <t>ΛΙΑΡΑΚΟΥ</t>
  </si>
  <si>
    <t>ΑΚ719669</t>
  </si>
  <si>
    <t>ΤΖΕΦΕΡΑΚΟΥ</t>
  </si>
  <si>
    <t>ΑΒ527455</t>
  </si>
  <si>
    <t>ΑΚ689980</t>
  </si>
  <si>
    <t>Ν613618</t>
  </si>
  <si>
    <t>Π489092</t>
  </si>
  <si>
    <t>ΗΛΙΑΔΗΣ</t>
  </si>
  <si>
    <t>ΑΟ331413</t>
  </si>
  <si>
    <t>ΣΑΜΙΩΤΑΚΗ</t>
  </si>
  <si>
    <t>ΑΜ456277</t>
  </si>
  <si>
    <t>ΑΚΡΙΒΟΥΛΗ</t>
  </si>
  <si>
    <t>ΒΑΙΑ ΠΑΡΑΣΚΕΥΗ</t>
  </si>
  <si>
    <t>ΑΙ840959</t>
  </si>
  <si>
    <t>ΚΡΑΙΤΣΗ</t>
  </si>
  <si>
    <t>ΑΟ209744</t>
  </si>
  <si>
    <t>ΝΤΗΜΟΥ</t>
  </si>
  <si>
    <t>ΑΜ398406</t>
  </si>
  <si>
    <t>Χ335353</t>
  </si>
  <si>
    <t>ΑΙΚΑΤΕΡΙΝΗ ΣΤΥΛΙΑΝΗ</t>
  </si>
  <si>
    <t>ΑΙ083201</t>
  </si>
  <si>
    <t>ΡΟΥΜΠΕΑ</t>
  </si>
  <si>
    <t>ΕΥΘΥΜΙΑ ΔΙΟΝΥΣΙΑ</t>
  </si>
  <si>
    <t>Χ676983</t>
  </si>
  <si>
    <t>ΔΟΥΒΗ</t>
  </si>
  <si>
    <t>ΑΑ419174</t>
  </si>
  <si>
    <t>ΜΗΛΙΑΤΖΙΔΟΥ</t>
  </si>
  <si>
    <t>ΑΗ899583</t>
  </si>
  <si>
    <t>Χ094144</t>
  </si>
  <si>
    <t>ΑΕ574044</t>
  </si>
  <si>
    <t>Τ307397</t>
  </si>
  <si>
    <t>Π860680</t>
  </si>
  <si>
    <t>ΠΑΠΑΔΗΜΗΤΡΟΠΟΥΛΟΥ</t>
  </si>
  <si>
    <t>ΑΙ495442</t>
  </si>
  <si>
    <t>ΑΜ698408</t>
  </si>
  <si>
    <t>ΠΡΟΦΗΣ</t>
  </si>
  <si>
    <t>ΑΡ057780</t>
  </si>
  <si>
    <t>ΚΑΛΑΜΒΟΚΗ</t>
  </si>
  <si>
    <t>ΑΙ770915</t>
  </si>
  <si>
    <t>ΣΚΟΥΒΑΚΗ</t>
  </si>
  <si>
    <t>ΖΑΜΠΙΑ</t>
  </si>
  <si>
    <t>Σ499374</t>
  </si>
  <si>
    <t>Χ753669</t>
  </si>
  <si>
    <t>ΣΙΑΣΙΟΥ</t>
  </si>
  <si>
    <t>ΑΗ320878</t>
  </si>
  <si>
    <t>ΠΑΓΚΑΚΟΥ</t>
  </si>
  <si>
    <t>ΑΚ980721</t>
  </si>
  <si>
    <t>ΛΕΜΟΝΙΔΟΥ</t>
  </si>
  <si>
    <t>ΑΕ 765436</t>
  </si>
  <si>
    <t>ΤΣΟΜΠΑΝΙΔΟΥ</t>
  </si>
  <si>
    <t>ΟΜΗΡΟΣ</t>
  </si>
  <si>
    <t>ΑΗ183839</t>
  </si>
  <si>
    <t>ΚΑΚΑΚΗ</t>
  </si>
  <si>
    <t>ΑΗ454889</t>
  </si>
  <si>
    <t>ΚΑΝΔΑΡΑΚΗ</t>
  </si>
  <si>
    <t>ΑΕ472267</t>
  </si>
  <si>
    <t>ΚΑΡΑΒΟΥ</t>
  </si>
  <si>
    <t>ΚΩΝΣΤΑΝΤΙΝΑ ΠΑΝΑΓΙΩΤ</t>
  </si>
  <si>
    <t>ΑΙ117722</t>
  </si>
  <si>
    <t>ΑΒ226684</t>
  </si>
  <si>
    <t>Χ133408</t>
  </si>
  <si>
    <t>ΠΑΡΑΣΙΔΟΥ</t>
  </si>
  <si>
    <t>ΓΚΑΛΙΝΑ</t>
  </si>
  <si>
    <t>Χ316482</t>
  </si>
  <si>
    <t>ΚΑΡΑΛΗ</t>
  </si>
  <si>
    <t>Σ486013</t>
  </si>
  <si>
    <t>ΣΑΛΠΙΓΓΙΔΟΥ</t>
  </si>
  <si>
    <t>ΑΟ667777</t>
  </si>
  <si>
    <t>ΣΤΑΣΙΝΟΠΟΥΛΟΥ</t>
  </si>
  <si>
    <t>ΑΟ880917</t>
  </si>
  <si>
    <t>ΞΕΝΟΠΟΥΛΟΥ</t>
  </si>
  <si>
    <t>ΤΑΣΙΑ</t>
  </si>
  <si>
    <t>ΑΙ675330</t>
  </si>
  <si>
    <t>ΑΙ935808</t>
  </si>
  <si>
    <t>ΓΑΒΡΟΠΟΥΛΟΥ</t>
  </si>
  <si>
    <t>ΔΑΜΙΑΝΟΣ</t>
  </si>
  <si>
    <t>ΑΙ151535</t>
  </si>
  <si>
    <t>ΚΟΜΙΩΤΗ</t>
  </si>
  <si>
    <t>Ρ300869</t>
  </si>
  <si>
    <t>ΜΟΥΤΣΙΟΥ</t>
  </si>
  <si>
    <t>ΑΖ352236</t>
  </si>
  <si>
    <t>ΠΑΠΑΓΙΑΝΝΟΠΟΥΛΟΥ</t>
  </si>
  <si>
    <t>ΑΙ850850</t>
  </si>
  <si>
    <t>ΜΑΡΑΘΟΥ</t>
  </si>
  <si>
    <t>ΑΗ121421</t>
  </si>
  <si>
    <t>ΑΠΟΣΤΟΛΑΚΟΥ</t>
  </si>
  <si>
    <t>Τ108828</t>
  </si>
  <si>
    <t>ΦΑΡΜΑΚΙΩΤΗ</t>
  </si>
  <si>
    <t>Π511191</t>
  </si>
  <si>
    <t>ΚΑΜΑΡΙΤΗ</t>
  </si>
  <si>
    <t>ΑΖ469556</t>
  </si>
  <si>
    <t>ΒΑΡΤΖΑΚΗ</t>
  </si>
  <si>
    <t>ΑΜ633134</t>
  </si>
  <si>
    <t>ΠΑΥΛΑΚΑΚΗ</t>
  </si>
  <si>
    <t>ΑΟ224927</t>
  </si>
  <si>
    <t>ΝΙΚΟΛΟΥ</t>
  </si>
  <si>
    <t>ΑΗ240230</t>
  </si>
  <si>
    <t>ΧΑΝΙΩΤΗ</t>
  </si>
  <si>
    <t>ΑΙ025878</t>
  </si>
  <si>
    <t>ΚΑΒΑΣΟΓΛΟΥ</t>
  </si>
  <si>
    <t>ΑΗ408655</t>
  </si>
  <si>
    <t>ΚΑΦΦΕ</t>
  </si>
  <si>
    <t>ΑΖ059832</t>
  </si>
  <si>
    <t>ΠΑΛΑΙΟΚΩΣΤΑ</t>
  </si>
  <si>
    <t>ΑΙ775128</t>
  </si>
  <si>
    <t>ΤΣΑΦΑΝΤΑΚΗ</t>
  </si>
  <si>
    <t>ΑΟ430093</t>
  </si>
  <si>
    <t>ΣΙΑΛΑΒΑΡΑ</t>
  </si>
  <si>
    <t>ΑΒ461119</t>
  </si>
  <si>
    <t>ΑΝ347714</t>
  </si>
  <si>
    <t>ΣΕΡΓΑΚΗ</t>
  </si>
  <si>
    <t>ΑΒ972163</t>
  </si>
  <si>
    <t>ΚΑΡΥΠΗ</t>
  </si>
  <si>
    <t>ΑΙ881626</t>
  </si>
  <si>
    <t>ΔΕΛΛΙΟΥ</t>
  </si>
  <si>
    <t>ΑΝΔΡΙΑΝΑ ΓΕΩΡΓΙΑ</t>
  </si>
  <si>
    <t>ΑΟ207649</t>
  </si>
  <si>
    <t>ΚΑΛΑΜΠΟΥΚΑ</t>
  </si>
  <si>
    <t>ΑΜ396485</t>
  </si>
  <si>
    <t>ΚΑΡΑΦΕΛΑ</t>
  </si>
  <si>
    <t>ΕΥΣΤΑΘΙΟΙΣ</t>
  </si>
  <si>
    <t>Σ664957</t>
  </si>
  <si>
    <t>ΑΝΘΙΠΠΗ</t>
  </si>
  <si>
    <t>Χ046001</t>
  </si>
  <si>
    <t>Τ828592</t>
  </si>
  <si>
    <t>ΑΚ428924</t>
  </si>
  <si>
    <t>ΡΑΔΙΤΣΗ</t>
  </si>
  <si>
    <t>ΑΗ691957</t>
  </si>
  <si>
    <t>ΚΑΡΜΟΙΡΑΝΤΖΟΥ</t>
  </si>
  <si>
    <t>Χ936948</t>
  </si>
  <si>
    <t>ΒΙΣΚΑΔΟΥΡΟΥ</t>
  </si>
  <si>
    <t>ΑΖ457400</t>
  </si>
  <si>
    <t>Χ391402</t>
  </si>
  <si>
    <t>ΜΠΑΡΜΠΑ</t>
  </si>
  <si>
    <t>Χ455145</t>
  </si>
  <si>
    <t>ΑΜ405599</t>
  </si>
  <si>
    <t>ΓΚΑΛΤΣΕΒΑ</t>
  </si>
  <si>
    <t>ΑΗ408776</t>
  </si>
  <si>
    <t>ΣΚΟΔΡΑ</t>
  </si>
  <si>
    <t>ΑΗ193358</t>
  </si>
  <si>
    <t>ΑΝΑΣΤΑΣΙΟΥ</t>
  </si>
  <si>
    <t>ΑΑ842018</t>
  </si>
  <si>
    <t>ΡΑΦΤΟΠΟΥΛΟΥ</t>
  </si>
  <si>
    <t>ΑΗ401675</t>
  </si>
  <si>
    <t>ΚΑΝΙΔΟΥ</t>
  </si>
  <si>
    <t>ΕΥΣΕΒΕΙΑ</t>
  </si>
  <si>
    <t>ΧΑΡΙΤΩΝ</t>
  </si>
  <si>
    <t>ΑΕ659843</t>
  </si>
  <si>
    <t>ΔΑΟΥΛΑ</t>
  </si>
  <si>
    <t>ΑΝ861720</t>
  </si>
  <si>
    <t>ΣΕΡΛΕΤΗ</t>
  </si>
  <si>
    <t>Τ393146</t>
  </si>
  <si>
    <t>ΧΟΛΙΑΣΜΕΝΟΥ</t>
  </si>
  <si>
    <t>ΑΗ615736</t>
  </si>
  <si>
    <t>ΝΤΑΛΑΜΑΓΚΑ</t>
  </si>
  <si>
    <t>ΑΗ710668</t>
  </si>
  <si>
    <t>ΠΙΚΙΟΥ</t>
  </si>
  <si>
    <t>ΑΚ958612</t>
  </si>
  <si>
    <t>ΑΜ472676</t>
  </si>
  <si>
    <t>ΑΝΔΡΟΝΙΚΟΣ</t>
  </si>
  <si>
    <t>ΑΕ197196</t>
  </si>
  <si>
    <t>ΤΣΙΤΛΑΚΙΔΟΥ</t>
  </si>
  <si>
    <t>ΑΟ217011</t>
  </si>
  <si>
    <t>ΚΑΦΑΣΗ</t>
  </si>
  <si>
    <t>ΑΟ497275</t>
  </si>
  <si>
    <t>ΑΑ372023</t>
  </si>
  <si>
    <t>ΚΡΙΘΑΡΑ</t>
  </si>
  <si>
    <t>Π738361</t>
  </si>
  <si>
    <t>ΛΑΔΙΑ</t>
  </si>
  <si>
    <t>ΑΗ879097</t>
  </si>
  <si>
    <t>ΙΝΔΟΥ</t>
  </si>
  <si>
    <t>ΑΖ801423</t>
  </si>
  <si>
    <t>ΑΟ960276</t>
  </si>
  <si>
    <t>ΠΙΖΙΚΛΗ</t>
  </si>
  <si>
    <t>ΚΥΠΡΙΑΝΟΣ</t>
  </si>
  <si>
    <t>Σ096838</t>
  </si>
  <si>
    <t>ΣΑΡΑΦΙΑΔΗ</t>
  </si>
  <si>
    <t>Χ183220</t>
  </si>
  <si>
    <t>ΜΑΛΤΕΖΟΥ</t>
  </si>
  <si>
    <t>ΑΑ323220</t>
  </si>
  <si>
    <t>ΜΗΤΣΑΡΑ</t>
  </si>
  <si>
    <t>ΑΖ900637</t>
  </si>
  <si>
    <t>ΜΠΑΛΜΠΑΤΣΗ</t>
  </si>
  <si>
    <t>ΑΟ410107</t>
  </si>
  <si>
    <t>ΑΕ409123</t>
  </si>
  <si>
    <t>ΤΑΓΚΑ</t>
  </si>
  <si>
    <t>ΑΜ584388</t>
  </si>
  <si>
    <t>ΠΟΛΙΤΗ</t>
  </si>
  <si>
    <t>ΤΙΜΟΛΕΩΝ</t>
  </si>
  <si>
    <t>Χ277327</t>
  </si>
  <si>
    <t>ΚΟΡΡΕ</t>
  </si>
  <si>
    <t>ΑΚ731560</t>
  </si>
  <si>
    <t>ΜΠΟΛΙΝΗ</t>
  </si>
  <si>
    <t>ΑΙ986088</t>
  </si>
  <si>
    <t>ΑΑ365903</t>
  </si>
  <si>
    <t>ΒΕΛΤΣΗ</t>
  </si>
  <si>
    <t>ΑΙ340383</t>
  </si>
  <si>
    <t xml:space="preserve">ΛΕΟΝΤΙΑΔΟΥ </t>
  </si>
  <si>
    <t>ΑΟ277280</t>
  </si>
  <si>
    <t>ΑΝΤΩΝΑΡΑΚΗ</t>
  </si>
  <si>
    <t>Τ293620</t>
  </si>
  <si>
    <t>ΠΑΠΑΘΕΟΦΑΝΗ</t>
  </si>
  <si>
    <t>Τ417910</t>
  </si>
  <si>
    <t>ΤΡΙΑΝΤΑΦΥΛΛΙΔΗ</t>
  </si>
  <si>
    <t>ΑΝ265602</t>
  </si>
  <si>
    <t>ΒΙΤΣΙΟΥ</t>
  </si>
  <si>
    <t>Π849919</t>
  </si>
  <si>
    <t>ΒΑΚΕΡΛΗ</t>
  </si>
  <si>
    <t>Σ773094</t>
  </si>
  <si>
    <t>ΒΑΡΩΝΟΥ</t>
  </si>
  <si>
    <t>ΑΑ470556</t>
  </si>
  <si>
    <t>ΜΗΤΣΙΑΔΟΥ</t>
  </si>
  <si>
    <t>ΑΙ876880</t>
  </si>
  <si>
    <t>ΘΕΩΝΗ</t>
  </si>
  <si>
    <t>Ρ129873</t>
  </si>
  <si>
    <t>ΓΑΝΩΤΗ</t>
  </si>
  <si>
    <t>ΑΒ439998</t>
  </si>
  <si>
    <t>ΜΠΕΚΙΡΟΠΟΥΛΟΥ</t>
  </si>
  <si>
    <t>ΑΗ860911</t>
  </si>
  <si>
    <t>ΚΑΛΛΗ</t>
  </si>
  <si>
    <t>ΑΙ492511</t>
  </si>
  <si>
    <t>ΑΙ291014</t>
  </si>
  <si>
    <t>ΑΙ728424</t>
  </si>
  <si>
    <t>ΑΟ595308</t>
  </si>
  <si>
    <t>ΑΜ668411</t>
  </si>
  <si>
    <t>ΑΑ909719</t>
  </si>
  <si>
    <t>ΣΚΕΝΤΖΗ</t>
  </si>
  <si>
    <t>ΠΑΝΑΓΙΩΤΑ ΕΥΑΓΓΕΛΙΑ</t>
  </si>
  <si>
    <t>ΑΙ509622</t>
  </si>
  <si>
    <t>ΡΟΔΑΝΘΗ</t>
  </si>
  <si>
    <t>ΑΑ239218</t>
  </si>
  <si>
    <t>ΚΟΝΤΟΓΙΩΡΓΗ</t>
  </si>
  <si>
    <t>ΑΗ256631</t>
  </si>
  <si>
    <t>ΠΙΣΤΙΟΛΑΣ</t>
  </si>
  <si>
    <t>ΑΕ246736</t>
  </si>
  <si>
    <t>ΑΙ250553</t>
  </si>
  <si>
    <t>ΧΑΤΖΗΦΟΥΝΤΑ</t>
  </si>
  <si>
    <t>ΑΝ955958</t>
  </si>
  <si>
    <t>ΠΕΝΤΕΛΗ</t>
  </si>
  <si>
    <t>ΑΝ408718</t>
  </si>
  <si>
    <t>ΑΙ350389</t>
  </si>
  <si>
    <t>ΤΟΤΤΗ</t>
  </si>
  <si>
    <t>ΑΚ620355</t>
  </si>
  <si>
    <t>ΠΑΣΙΑΛΗ</t>
  </si>
  <si>
    <t>ΜΑΡΙΑΝΟΣ</t>
  </si>
  <si>
    <t>ΑΕ819372</t>
  </si>
  <si>
    <t>ΑΚ989995</t>
  </si>
  <si>
    <t>ΓΚΟΥΤΖΙΟΥΛΗ</t>
  </si>
  <si>
    <t>Χ453630</t>
  </si>
  <si>
    <t>ΚΟΥΓΙΑΝΝΟΥ</t>
  </si>
  <si>
    <t>ΑΗ269733</t>
  </si>
  <si>
    <t>ΓΚΕΤΣΙΟΥ</t>
  </si>
  <si>
    <t>ΘΕΟΧΑΡΙΣ</t>
  </si>
  <si>
    <t>ΑΜ818987</t>
  </si>
  <si>
    <t>ΜΠΑΡΑΚΗ</t>
  </si>
  <si>
    <t>ΤΖΑΝΝΟΣ</t>
  </si>
  <si>
    <t>Φ917060</t>
  </si>
  <si>
    <t>ΣΕΡΜΠΕΖΗ</t>
  </si>
  <si>
    <t>ΑΒ127486</t>
  </si>
  <si>
    <t>ΜΠΕΡΟΥΚΑ</t>
  </si>
  <si>
    <t>ΑΗ031586</t>
  </si>
  <si>
    <t>ΣΤΕΦΑΝΑΚΟΥ</t>
  </si>
  <si>
    <t>ΑΗ802721</t>
  </si>
  <si>
    <t>ΑΑ414428</t>
  </si>
  <si>
    <t>ΑΒ094840</t>
  </si>
  <si>
    <t>ΜΑΛΙΑΡΟΥ</t>
  </si>
  <si>
    <t>ΑΒ357029</t>
  </si>
  <si>
    <t>ΑΖ896167</t>
  </si>
  <si>
    <t>ΚΑΡΑΤΣΩΡΗ</t>
  </si>
  <si>
    <t>Ρ787549</t>
  </si>
  <si>
    <t>ΕΥΑΓΓΕΛΙΔΗ</t>
  </si>
  <si>
    <t>ΚΩΝΣΤΑΝΤΙΝΑ ΧΡΥΣΟΜΑΛ</t>
  </si>
  <si>
    <t>ΑΣΗΜΑΚΗΣ</t>
  </si>
  <si>
    <t>ΑΚ452954</t>
  </si>
  <si>
    <t>ΑΟ110283</t>
  </si>
  <si>
    <t>ΓΙΑΝΝΑΚΙΔΗ</t>
  </si>
  <si>
    <t>ΑΖ491429</t>
  </si>
  <si>
    <t>ΑΝ044130</t>
  </si>
  <si>
    <t>ΧΡΥΣΗ ΔΕΣΠΟΙΝΑ</t>
  </si>
  <si>
    <t>ΑΙ616394</t>
  </si>
  <si>
    <t>Χ360553</t>
  </si>
  <si>
    <t>ΑΑ263717</t>
  </si>
  <si>
    <t>ΑΖ792202</t>
  </si>
  <si>
    <t>ΑΗ637305</t>
  </si>
  <si>
    <t>ΑΡ331067</t>
  </si>
  <si>
    <t>ΔΟΙΡΑΝΛΗ</t>
  </si>
  <si>
    <t>Ρ205571</t>
  </si>
  <si>
    <t>ΚΑΚΟΥ</t>
  </si>
  <si>
    <t>ΜΕΛΕΤΙΟΣ</t>
  </si>
  <si>
    <t>ΑΒ077526</t>
  </si>
  <si>
    <t>ΑΝ427599</t>
  </si>
  <si>
    <t>ΚΟΥΡΑΚΗ</t>
  </si>
  <si>
    <t>ΑΗ460895</t>
  </si>
  <si>
    <t>ΧΕΙΛΑΔΑΚΗ</t>
  </si>
  <si>
    <t>ΑΒ214432</t>
  </si>
  <si>
    <t>ΑΘΑΝΑΣΟΠΟΥΛΟΥ</t>
  </si>
  <si>
    <t>ΜΑΡΚΟΣ</t>
  </si>
  <si>
    <t>ΑΜ811433</t>
  </si>
  <si>
    <t>ΜΠΑΖΩΝΗ</t>
  </si>
  <si>
    <t>ΑΝ670928</t>
  </si>
  <si>
    <t>ΚΛΑΔΗ</t>
  </si>
  <si>
    <t>ΑΜ748526</t>
  </si>
  <si>
    <t>ΓΡΕ</t>
  </si>
  <si>
    <t>ΑΕ649054</t>
  </si>
  <si>
    <t>ΚΛΑΡΟΥΜΕΝΟΥ</t>
  </si>
  <si>
    <t xml:space="preserve">ΜΑΡΙΑ </t>
  </si>
  <si>
    <t>ΑΙ327412</t>
  </si>
  <si>
    <t>ΚΑΤΑΡΑ</t>
  </si>
  <si>
    <t>ΑΚ606445</t>
  </si>
  <si>
    <t>ΑΙ375139</t>
  </si>
  <si>
    <t>ΑΚ706172</t>
  </si>
  <si>
    <t>ΚΑΜΜΕΝΟΥ</t>
  </si>
  <si>
    <t>ΑΟ407970</t>
  </si>
  <si>
    <t>ΑΑ479664</t>
  </si>
  <si>
    <t>Χ778374</t>
  </si>
  <si>
    <t>ΞΕΝΟΔΟΧΙΔΟΥ</t>
  </si>
  <si>
    <t>ΑΡ288923</t>
  </si>
  <si>
    <t>ΠΟΡΤΟΚΑΛΙΔΟΥ</t>
  </si>
  <si>
    <t>ΑΗ370055</t>
  </si>
  <si>
    <t>STEFANOU</t>
  </si>
  <si>
    <t>ARGYRO</t>
  </si>
  <si>
    <t>GEORGIOS</t>
  </si>
  <si>
    <t>Σ265474</t>
  </si>
  <si>
    <t>ΣΕΦΕΡΙΑΔΟΥ</t>
  </si>
  <si>
    <t>ΑΟ886477</t>
  </si>
  <si>
    <t>ΑΒ862396</t>
  </si>
  <si>
    <t>ΑΚ247330</t>
  </si>
  <si>
    <t>ΑΙ619530</t>
  </si>
  <si>
    <t>ΚΑΡΑΡΙΖΟΥ</t>
  </si>
  <si>
    <t>ΑΖ649166</t>
  </si>
  <si>
    <t>ΜΠΟΓΛΟΥ</t>
  </si>
  <si>
    <t>ΑΗ920713</t>
  </si>
  <si>
    <t>ΜΠΑΤΣΙΟΥΔΗ</t>
  </si>
  <si>
    <t>ANΔΡΟΝΙΚΗ</t>
  </si>
  <si>
    <t>ΑΖ662139</t>
  </si>
  <si>
    <t>ΑΒ714316</t>
  </si>
  <si>
    <t>ΚΟΚΑΛΑ</t>
  </si>
  <si>
    <t>Ρ293386</t>
  </si>
  <si>
    <t>ΚΟΚΚΑ</t>
  </si>
  <si>
    <t>ΑΗ273250</t>
  </si>
  <si>
    <t>ΣΚΑΡΩΝΗ</t>
  </si>
  <si>
    <t>ΑΚ750412</t>
  </si>
  <si>
    <t>ΑΙ283276</t>
  </si>
  <si>
    <t>ΚΑΛΟΓΕΡΟΠΟΥΛΟΥ</t>
  </si>
  <si>
    <t>ΕΦΗ</t>
  </si>
  <si>
    <t>Τ256616</t>
  </si>
  <si>
    <t>ΑΕ062203</t>
  </si>
  <si>
    <t>ΚΑΜΑΡΙΑ</t>
  </si>
  <si>
    <t>ΘΕΟΚΡΙΤΟΣ</t>
  </si>
  <si>
    <t>ΑΝ406694</t>
  </si>
  <si>
    <t>ΚΩΤΤΗ</t>
  </si>
  <si>
    <t>ΑΑ276075</t>
  </si>
  <si>
    <t>ΑΖ686926</t>
  </si>
  <si>
    <t>Τ293763</t>
  </si>
  <si>
    <t>ΑΙ181488</t>
  </si>
  <si>
    <t>ΛΑΓΟΥ</t>
  </si>
  <si>
    <t>ΚΩΝΣΤΑΝΤΙΝΑ ΝΕΚΤΑΡΙΑ</t>
  </si>
  <si>
    <t>ΑΗ020737</t>
  </si>
  <si>
    <t>ΠΑΠΑΛΙΑΚΟΥ</t>
  </si>
  <si>
    <t>Χ655340</t>
  </si>
  <si>
    <t>ΠΑΠΑΚΩΣΤΟΠΟΥΛΟΥ</t>
  </si>
  <si>
    <t>Ρ647847</t>
  </si>
  <si>
    <t>ΑΑ239114</t>
  </si>
  <si>
    <t>ΜΑΥΡΟΠΟΥΛΟΥ</t>
  </si>
  <si>
    <t>ΑΜ269948</t>
  </si>
  <si>
    <t>ΚΥΛΙΤΣΗ</t>
  </si>
  <si>
    <t>ΑΖ931839</t>
  </si>
  <si>
    <t>ΑΜ309957</t>
  </si>
  <si>
    <t>ΣΜΠΙΡΑΚΗ</t>
  </si>
  <si>
    <t>ΑΖ028554</t>
  </si>
  <si>
    <t>ΝΑΤΣΗ</t>
  </si>
  <si>
    <t>ΑΚ772692</t>
  </si>
  <si>
    <t>ΚΑΡΑΤΖΗΚΑ</t>
  </si>
  <si>
    <t>ΜΑΡΙΑ ΜΑΡΙΝΑ</t>
  </si>
  <si>
    <t>ΑΕ215849</t>
  </si>
  <si>
    <t>ΑΗ556522</t>
  </si>
  <si>
    <t>ΚΟΥΤΟΥΛΑΚΗ</t>
  </si>
  <si>
    <t>ΕΛΙΑΝΑ</t>
  </si>
  <si>
    <t>ΑΙ456374</t>
  </si>
  <si>
    <t>ΣΤΕΡΓΙΟΥΛΑ</t>
  </si>
  <si>
    <t>Π169882</t>
  </si>
  <si>
    <t>ΑΙ428722</t>
  </si>
  <si>
    <t>ΠΑΠΑ</t>
  </si>
  <si>
    <t>ΑΑ967463</t>
  </si>
  <si>
    <t>ΦΑΣΝΑΚΗΣ</t>
  </si>
  <si>
    <t>ΠΕΡΙΣΤΕΡΑ</t>
  </si>
  <si>
    <t>ΜΕΡΚΟΥΡΙΟΣ</t>
  </si>
  <si>
    <t>ΑΗ787593</t>
  </si>
  <si>
    <t>ΕΠΙΣΚΟΠΟΥ</t>
  </si>
  <si>
    <t>ΑΖ761702</t>
  </si>
  <si>
    <t>ΡΑΓΙΑ</t>
  </si>
  <si>
    <t>ΑΙ832372</t>
  </si>
  <si>
    <t>ΓΟΡΓΟΝΙΔΟΥ</t>
  </si>
  <si>
    <t>ΜΑΞΙΜΟΣ</t>
  </si>
  <si>
    <t>ΑΝ423605</t>
  </si>
  <si>
    <t>ΚΟΥΦΟΓΙΑΝΝΗ</t>
  </si>
  <si>
    <t>ΑΚ716132</t>
  </si>
  <si>
    <t>ΑΙ325184</t>
  </si>
  <si>
    <t>ΣΤΕΦΑΝΟΥ</t>
  </si>
  <si>
    <t>Χ103931</t>
  </si>
  <si>
    <t>ΜΑΧΑΙΡΑ</t>
  </si>
  <si>
    <t>ΑΕ241166</t>
  </si>
  <si>
    <t>ΑΚ104480</t>
  </si>
  <si>
    <t>ΑΖ792947</t>
  </si>
  <si>
    <t>ΤΣΙΑΡΤΣΙΑΝΙΔΟΥ</t>
  </si>
  <si>
    <t>Χ451358</t>
  </si>
  <si>
    <t>ΑΜ929824</t>
  </si>
  <si>
    <t>ΦΑΣΕΓΚΑ</t>
  </si>
  <si>
    <t>Χ410984</t>
  </si>
  <si>
    <t>ΣΑΒΒΑΤΙΑΝΗ</t>
  </si>
  <si>
    <t>ΑΕ218198</t>
  </si>
  <si>
    <t>ΑΗ701716</t>
  </si>
  <si>
    <t>ΧΑΛΙΜΟΥΡΔΑ</t>
  </si>
  <si>
    <t>ΑΜ754660</t>
  </si>
  <si>
    <t>ΑΝ797005</t>
  </si>
  <si>
    <t>ΑΚ570620</t>
  </si>
  <si>
    <t>ΓΡΗΓΟΡΙΑΔΟΥ</t>
  </si>
  <si>
    <t>ΑΝ714790</t>
  </si>
  <si>
    <t>ΑΕ783393</t>
  </si>
  <si>
    <t>ΑΚ911747</t>
  </si>
  <si>
    <t>ΤΖΑΒΑΛΗ</t>
  </si>
  <si>
    <t>Χ489909</t>
  </si>
  <si>
    <t>Τ422923</t>
  </si>
  <si>
    <t>ΣΕΡΓΚΕΝΛΙΔΟΥ</t>
  </si>
  <si>
    <t>ΑΕ881111</t>
  </si>
  <si>
    <t>ΚΑΡΑ ΧΟΤΖΑ</t>
  </si>
  <si>
    <t>ΑΙΣΕ</t>
  </si>
  <si>
    <t>ΡΑΧΜΗ</t>
  </si>
  <si>
    <t>Χ442506</t>
  </si>
  <si>
    <t>ΑΛΕΞΟΥΔΑΚΗ</t>
  </si>
  <si>
    <t>Ν915542</t>
  </si>
  <si>
    <t>ΗΛΙΑ</t>
  </si>
  <si>
    <t>ΑΒ881538</t>
  </si>
  <si>
    <t>ΠΑΠΟΥΤΣΑΚΗ</t>
  </si>
  <si>
    <t>ΑΗ456848</t>
  </si>
  <si>
    <t>ΚΑΒΑΚΙΩΤΟΥ</t>
  </si>
  <si>
    <t>ΑΝ401529</t>
  </si>
  <si>
    <t>ΑΜ384004</t>
  </si>
  <si>
    <t>ΑΙ262592</t>
  </si>
  <si>
    <t>ΑΗ291483</t>
  </si>
  <si>
    <t>ΑΖ645759</t>
  </si>
  <si>
    <t>ΘΑΝΑΣΗ</t>
  </si>
  <si>
    <t>ΓΙΑΒΡΟΥΤΑ</t>
  </si>
  <si>
    <t>ΑΙ129701</t>
  </si>
  <si>
    <t>ΠΑΝΑΓΙΩΤΑ ΜΑΡΙΝΑ</t>
  </si>
  <si>
    <t>ΑΖ341303</t>
  </si>
  <si>
    <t>ΑΚ581595</t>
  </si>
  <si>
    <t>ΚΩΣΤΑ</t>
  </si>
  <si>
    <t>ΑΙ029267</t>
  </si>
  <si>
    <t>ΚΟΤΣΙΡΑ</t>
  </si>
  <si>
    <t>ΑΝ276738</t>
  </si>
  <si>
    <t>ΑΗ392766</t>
  </si>
  <si>
    <t>Χ818760</t>
  </si>
  <si>
    <t>ΑΚ529412</t>
  </si>
  <si>
    <t>ΠΑΝΙΔΟΥ</t>
  </si>
  <si>
    <t>Ρ209249</t>
  </si>
  <si>
    <t>ΑΟ101632</t>
  </si>
  <si>
    <t>ΚΕΡΑΜΙΔΑ</t>
  </si>
  <si>
    <t>Τ837036</t>
  </si>
  <si>
    <t>ΝΤΟΤΣΙΚΑ</t>
  </si>
  <si>
    <t>ΑΑ379188</t>
  </si>
  <si>
    <t>ΣΚΟΥΡΤΗ</t>
  </si>
  <si>
    <t>ΑΚ126865</t>
  </si>
  <si>
    <t>ΑΒ400739</t>
  </si>
  <si>
    <t>ΔΟΞΟΜΠΟΛΗ</t>
  </si>
  <si>
    <t>ΑΟ056397</t>
  </si>
  <si>
    <t>ΑΙ179284</t>
  </si>
  <si>
    <t>ΜΠΕΓΚΟΥ</t>
  </si>
  <si>
    <t>ΜΠΕΣΑΡΤΑ</t>
  </si>
  <si>
    <t>ΑΡΜΠΕΝ</t>
  </si>
  <si>
    <t>ΑΚ470159</t>
  </si>
  <si>
    <t>ΣΚΑΛΙΩΤΟΥ</t>
  </si>
  <si>
    <t>Σ307380</t>
  </si>
  <si>
    <t>ΑΑ380476</t>
  </si>
  <si>
    <t>ΔΑΛΗΚΡΙΑΔΟΥ</t>
  </si>
  <si>
    <t>ΑΖ402385</t>
  </si>
  <si>
    <t>ΣΙΟΥΡΟΥΝΗ</t>
  </si>
  <si>
    <t>ΑΕ734350</t>
  </si>
  <si>
    <t>ΚΡΙΚΟΥ</t>
  </si>
  <si>
    <t>Σ781555</t>
  </si>
  <si>
    <t>ΠΑΛΥΒΟΥ</t>
  </si>
  <si>
    <t>ΑΑ816418</t>
  </si>
  <si>
    <t>ΑΦΕΝΤΟΥΛΙΔΟΥ</t>
  </si>
  <si>
    <t>ΑΙ671050</t>
  </si>
  <si>
    <t>ΚΡΙΕΜΠΑΡΔΗ</t>
  </si>
  <si>
    <t>ΑΑ391800</t>
  </si>
  <si>
    <t>ΑΙ478493</t>
  </si>
  <si>
    <t>ΣΦΥΡΗ</t>
  </si>
  <si>
    <t>Χ257308</t>
  </si>
  <si>
    <t>ΚΟΥΝΑΤΙΔΟΥ</t>
  </si>
  <si>
    <t>ΑΚ892060</t>
  </si>
  <si>
    <t>ΜΠΟΥΣΚΛΑΒΙΤΗ</t>
  </si>
  <si>
    <t>ΑΕ812185</t>
  </si>
  <si>
    <t>ΠΑΠΑΘΑΝΑΣΙΟΥ</t>
  </si>
  <si>
    <t>ΑΙ329450</t>
  </si>
  <si>
    <t>ΑΜΠΑΖΗΣ</t>
  </si>
  <si>
    <t>ΑΜ933304</t>
  </si>
  <si>
    <t>ΛΑΜΠΡΗ</t>
  </si>
  <si>
    <t>ΑΖ220603</t>
  </si>
  <si>
    <t>ΓΕΩΡΓΑΡΑΚΗ</t>
  </si>
  <si>
    <t>ΑΜ229996</t>
  </si>
  <si>
    <t>ΒΕΖΥΡΙΔΟΥ</t>
  </si>
  <si>
    <t>ΣΑΜΟΥΗΛ</t>
  </si>
  <si>
    <t>ΑΜ410025</t>
  </si>
  <si>
    <t>ΣΜΑΡΑΙΔΟΥ</t>
  </si>
  <si>
    <t>ΒΗΣΣΑΡΙΩΝ</t>
  </si>
  <si>
    <t>ΑΟ929678</t>
  </si>
  <si>
    <t>ΑΜ709738</t>
  </si>
  <si>
    <t>ΜΙΑΡΗ</t>
  </si>
  <si>
    <t>ΑΙ272539</t>
  </si>
  <si>
    <t>ΕΜΜΑΝΟΥΗΛΙΔΟΥ</t>
  </si>
  <si>
    <t>ΑΗ351285</t>
  </si>
  <si>
    <t>ΑΓΓΕΛΗ</t>
  </si>
  <si>
    <t>ΑΗ767602</t>
  </si>
  <si>
    <t>ΑΝ799797</t>
  </si>
  <si>
    <t>ΣΑΙΝΑΤΟΥΔΗ</t>
  </si>
  <si>
    <t>ΑΟ413438</t>
  </si>
  <si>
    <t>ΑΖ868119</t>
  </si>
  <si>
    <t>ΜΠΑΛΤΖΗ</t>
  </si>
  <si>
    <t>ΑΚ016740</t>
  </si>
  <si>
    <t>ΚΑΜΑΡΙΝΟΠΟΥΛΟΥ</t>
  </si>
  <si>
    <t>ΑΙ793132</t>
  </si>
  <si>
    <t>Ξ553126</t>
  </si>
  <si>
    <t>ΚΟΥΡΟΥΣΙΑ</t>
  </si>
  <si>
    <t>ΑΒ939639</t>
  </si>
  <si>
    <t>ΛΟΥΚΑΔΑΚΗ</t>
  </si>
  <si>
    <t>ΑΝ466009</t>
  </si>
  <si>
    <t>ΚΟΥΔΟΥΝΗ</t>
  </si>
  <si>
    <t>Χ933777</t>
  </si>
  <si>
    <t>ΔΕΣΠΟΤΕΛΛΗ</t>
  </si>
  <si>
    <t>ΑΖ583226</t>
  </si>
  <si>
    <t>ΠΑΤΣΙΑΝΤΖΗ</t>
  </si>
  <si>
    <t>ΑΝ606680</t>
  </si>
  <si>
    <t>ΑΙ326070</t>
  </si>
  <si>
    <t>ΒΑΣΙΛΕΙΟ</t>
  </si>
  <si>
    <t>Ρ815138</t>
  </si>
  <si>
    <t>Σ981899</t>
  </si>
  <si>
    <t>ΑΟ900978</t>
  </si>
  <si>
    <t>ΚΛΑΚΑΛΑ</t>
  </si>
  <si>
    <t>Φ171178</t>
  </si>
  <si>
    <t>ΖΙΑΜΠΑ</t>
  </si>
  <si>
    <t>ΑΕ816981</t>
  </si>
  <si>
    <t>ΚΟΤΖΑΜΑΝΙΔΟΥ</t>
  </si>
  <si>
    <t>ΑΜ267350</t>
  </si>
  <si>
    <t>ΑΙ313649</t>
  </si>
  <si>
    <t>ΑΜ302310</t>
  </si>
  <si>
    <t>ΤΣΑΓΓΑΡΙΩΛΟΥ</t>
  </si>
  <si>
    <t>ΑΚ123469</t>
  </si>
  <si>
    <t>ΑΙ224573</t>
  </si>
  <si>
    <t>ΓΑΒΡΙΗΛΙΔΟΥ</t>
  </si>
  <si>
    <t>ΑΙ381755</t>
  </si>
  <si>
    <t>ΚΟΝΤΕΣΙΔΟΥ</t>
  </si>
  <si>
    <t>ΑΗ359185</t>
  </si>
  <si>
    <t>ΑΟ111373</t>
  </si>
  <si>
    <t>ΔΟΥΛΙΑΣ</t>
  </si>
  <si>
    <t>Φ318644</t>
  </si>
  <si>
    <t>ΚΡΑΣΤΑ</t>
  </si>
  <si>
    <t>ΕΓΓΕΛ</t>
  </si>
  <si>
    <t>ΑΙ358733</t>
  </si>
  <si>
    <t>ΚΟΥΡΙΔΟΥ</t>
  </si>
  <si>
    <t>ΜΑΡΙΑ ΕΛΕΝΑ</t>
  </si>
  <si>
    <t>Χ587989</t>
  </si>
  <si>
    <t>ΚΥΠΡΙΑΝΙΔΗ</t>
  </si>
  <si>
    <t>ΑΗ703541</t>
  </si>
  <si>
    <t>ΣΑΡΧΑΝΗ</t>
  </si>
  <si>
    <t>ΧΡΙΣΤΙΝΑ ΑΝΔΡΙΑΝΗ</t>
  </si>
  <si>
    <t>ΑΝ050122</t>
  </si>
  <si>
    <t>ΚΑΒΑΛΙΕΡΑΤΟΥ</t>
  </si>
  <si>
    <t>ΑΜ300889</t>
  </si>
  <si>
    <t>ΚΟΥΒΑΡΝΤΑ</t>
  </si>
  <si>
    <t>ΑΟ786416</t>
  </si>
  <si>
    <t>ΚΟΣΜΟΠΟΥΛΟΥ</t>
  </si>
  <si>
    <t>ΑΟ991516</t>
  </si>
  <si>
    <t>Χ743905</t>
  </si>
  <si>
    <t>ΜΠΙΜΠΙΖΑ</t>
  </si>
  <si>
    <t>Χ079200</t>
  </si>
  <si>
    <t>ΑΝ440680</t>
  </si>
  <si>
    <t>ΧΟΡΟΖΗ</t>
  </si>
  <si>
    <t>Φ186427</t>
  </si>
  <si>
    <t>ΑΖ820035</t>
  </si>
  <si>
    <t>ΣΤΑΜΟΠΟΥΛΟΥ</t>
  </si>
  <si>
    <t>Ρ806426</t>
  </si>
  <si>
    <t>ΤΣΕΠΟΥΡΑ</t>
  </si>
  <si>
    <t>Σ442853</t>
  </si>
  <si>
    <t>ΒΟΥΛΩΝΗ</t>
  </si>
  <si>
    <t>ΙΟΥΛΙΑ</t>
  </si>
  <si>
    <t>ΑΜ258650</t>
  </si>
  <si>
    <t>ΑΔΑΜΑΚΗ</t>
  </si>
  <si>
    <t>ΑΕ346172</t>
  </si>
  <si>
    <t>ΚΑΥΚΑ</t>
  </si>
  <si>
    <t>Χ935995</t>
  </si>
  <si>
    <t>ΜΠΟΥΛΟΥΚΟΥ</t>
  </si>
  <si>
    <t>Χ790993</t>
  </si>
  <si>
    <t>ΑΙ733858</t>
  </si>
  <si>
    <t>ΑΛΟΥΣΗ</t>
  </si>
  <si>
    <t>Χ487736</t>
  </si>
  <si>
    <t>ΑΥΓΕΡΗ</t>
  </si>
  <si>
    <t>ΙΩΑΝΝΑ ΠΑΡΑΣΚΕΥΗ</t>
  </si>
  <si>
    <t>ΑΑ433369</t>
  </si>
  <si>
    <t>ΡΟΥΛΙΑ</t>
  </si>
  <si>
    <t>Χ408995</t>
  </si>
  <si>
    <t>ΤΖΕΛΕΠΙΔΟΥ</t>
  </si>
  <si>
    <t>Χ745996</t>
  </si>
  <si>
    <t>ΣΕΦΕΡΙΔΟΥ</t>
  </si>
  <si>
    <t>ΑΕ911479</t>
  </si>
  <si>
    <t>ΑΜ171484</t>
  </si>
  <si>
    <t>ΠΟΛΥΖΩΙΔΟΥ</t>
  </si>
  <si>
    <t>ΑΕ917720</t>
  </si>
  <si>
    <t>ΛΥΤΡΙΑΝΗ</t>
  </si>
  <si>
    <t>Χ407763</t>
  </si>
  <si>
    <t>ΛΕΟΝΤΙΤΣΗ</t>
  </si>
  <si>
    <t>Χ960010</t>
  </si>
  <si>
    <t>Χ304738</t>
  </si>
  <si>
    <t>ΠΕΝΟΥ</t>
  </si>
  <si>
    <t>Τ233694</t>
  </si>
  <si>
    <t>ΑΚ704303</t>
  </si>
  <si>
    <t>ΑΗ738286</t>
  </si>
  <si>
    <t>ΜΠΑΖΙΟΥ</t>
  </si>
  <si>
    <t>Χ367604</t>
  </si>
  <si>
    <t>ΑΝ4071125</t>
  </si>
  <si>
    <t>ΘΥΜΙΑΤΗ</t>
  </si>
  <si>
    <t>ΧΡΥΣΑΦΩ</t>
  </si>
  <si>
    <t>ΑΒ672622</t>
  </si>
  <si>
    <t>ΜΙΧΑΛΟΥΔΗ</t>
  </si>
  <si>
    <t>Ξ553460</t>
  </si>
  <si>
    <t>ΡΟΓΚΟΤΗ</t>
  </si>
  <si>
    <t>Ρ185205</t>
  </si>
  <si>
    <t>ΤΣΙΑΚΑΛΟΥ</t>
  </si>
  <si>
    <t>ΜΑΡΙΑ ΑΝΤΙΓΟΝΗ</t>
  </si>
  <si>
    <t>ΑΝ761140</t>
  </si>
  <si>
    <t>ΛΕΙΒΑΔΙΤΗ</t>
  </si>
  <si>
    <t xml:space="preserve">ΠΕΤΡΟΣ </t>
  </si>
  <si>
    <t>Τ323089</t>
  </si>
  <si>
    <t>ΑΗ488638</t>
  </si>
  <si>
    <t>ΚΑΝΕΤΑΚΗ</t>
  </si>
  <si>
    <t>ΑΒ483626</t>
  </si>
  <si>
    <t>ΛΑΖΟΥ</t>
  </si>
  <si>
    <t>Σ785356</t>
  </si>
  <si>
    <t>ΝΤΕΛΓΚΑΝΤΟ</t>
  </si>
  <si>
    <t>ΝΤΟΜΙΓΚΟΣ</t>
  </si>
  <si>
    <t>ΑΗ068144</t>
  </si>
  <si>
    <t>ΚΑΠΕΝΗ</t>
  </si>
  <si>
    <t>ΑΜ993026</t>
  </si>
  <si>
    <t>ΒΕΡΤΖΟΥ</t>
  </si>
  <si>
    <t>Χ598113</t>
  </si>
  <si>
    <t>ΑΕ097857</t>
  </si>
  <si>
    <t>ΚΥΡΙΑΚΟΥΛΗ</t>
  </si>
  <si>
    <t>ΑΜ831663</t>
  </si>
  <si>
    <t>ΤΣΙΚΑΛΑΚΗ</t>
  </si>
  <si>
    <t>ΑΖ460466</t>
  </si>
  <si>
    <t>ΜΙΡΑΝΤΑ ΜΑΡΙΑ</t>
  </si>
  <si>
    <t>ΑΝΕΥ</t>
  </si>
  <si>
    <t>ΑΚ794508</t>
  </si>
  <si>
    <t>ΑΝ209560</t>
  </si>
  <si>
    <t>ΑΗ686653</t>
  </si>
  <si>
    <t>ΠΟΛΥΖΩΗΣ</t>
  </si>
  <si>
    <t>ΑΗ212705</t>
  </si>
  <si>
    <t>ΤΣΙΚΙΝΤΙΚΟΥ</t>
  </si>
  <si>
    <t>ΆΝΝΑ</t>
  </si>
  <si>
    <t>ΑΙ960445</t>
  </si>
  <si>
    <t>ΣΤΑΘΑΚΗ</t>
  </si>
  <si>
    <t>Χ281356</t>
  </si>
  <si>
    <t>ΑΝ095670</t>
  </si>
  <si>
    <t>ΚΙΟΣΚΕΡΙΔΟΥ</t>
  </si>
  <si>
    <t>ΑΙ894117</t>
  </si>
  <si>
    <t>ΜΛΑΔΕΝΗ</t>
  </si>
  <si>
    <t>ΑΗ159608</t>
  </si>
  <si>
    <t>ΠΑΝΟΥ</t>
  </si>
  <si>
    <t>ΑΖ406766</t>
  </si>
  <si>
    <t>ΚΑΡΠΟΥΖΑΚΗ</t>
  </si>
  <si>
    <t>ΑΖ972080</t>
  </si>
  <si>
    <t>ΣΙΩΖIΟΥ</t>
  </si>
  <si>
    <t>Χ867832</t>
  </si>
  <si>
    <t>ΒΙΝΙΕΡΑΤΟΥ</t>
  </si>
  <si>
    <t>Χ140815</t>
  </si>
  <si>
    <t>ΑΖ927309</t>
  </si>
  <si>
    <t>ΚΟΥΜΠΟΥΣΙΔΟΥ</t>
  </si>
  <si>
    <t>ΑΒ883796</t>
  </si>
  <si>
    <t>ΟΓΚΑΝΙΑΝ</t>
  </si>
  <si>
    <t>ΑΑ472884</t>
  </si>
  <si>
    <t>ΑΝΤΩΝΑΚΟΥΔΗ</t>
  </si>
  <si>
    <t>ΑΙ708571</t>
  </si>
  <si>
    <t>ΑΙ324741</t>
  </si>
  <si>
    <t>ΑΙ325905</t>
  </si>
  <si>
    <t>ΚΕΡΕΣΤΕΤΖΗ</t>
  </si>
  <si>
    <t>ΑΝ185001</t>
  </si>
  <si>
    <t>ΜΠΑΜΙΧΑ</t>
  </si>
  <si>
    <t>ΑΓΑΘΟΥΛΑ</t>
  </si>
  <si>
    <t>ΑΖ516423</t>
  </si>
  <si>
    <t>ΓΙΟΓΙΑΚΑ</t>
  </si>
  <si>
    <t>ΑΚ821002</t>
  </si>
  <si>
    <t>ΜΠΙΝΑ</t>
  </si>
  <si>
    <t>ΚΑΡΟΛΙΝΑ</t>
  </si>
  <si>
    <t>ΑΑ377893</t>
  </si>
  <si>
    <t>ΑΟ209029</t>
  </si>
  <si>
    <t>ΕΡΓΑΖΑΚΗ</t>
  </si>
  <si>
    <t>ΕΥΑΓΓΕΛΙΑ ΜΑΡΙΑ</t>
  </si>
  <si>
    <t>ΑΜ465255</t>
  </si>
  <si>
    <t>ΓΑΖΟΥ</t>
  </si>
  <si>
    <t>ΑΙ207424</t>
  </si>
  <si>
    <t>ΚΑΠΛΑΝΗ</t>
  </si>
  <si>
    <t>ΑΖ803323</t>
  </si>
  <si>
    <t>ΣΙΟΥΤΗ</t>
  </si>
  <si>
    <t>ΑΜ691825</t>
  </si>
  <si>
    <t>ΑΝ243545</t>
  </si>
  <si>
    <t>ΑΟ038757</t>
  </si>
  <si>
    <t>ΑΙ761307</t>
  </si>
  <si>
    <t>ΑΒ245720</t>
  </si>
  <si>
    <t>ΣΚΑΡΛΑΤΟΥ</t>
  </si>
  <si>
    <t>ΑΝ409763</t>
  </si>
  <si>
    <t>ΧΑΣΙΩΤΗ</t>
  </si>
  <si>
    <t>ΑΙ869540</t>
  </si>
  <si>
    <t>ΑΜ631936</t>
  </si>
  <si>
    <t>ΤΣΟΥΡΛΗ</t>
  </si>
  <si>
    <t>ΑΡ213793</t>
  </si>
  <si>
    <t>ΤΣΙΤΟΓΛΟΥ</t>
  </si>
  <si>
    <t>ΡΕΓΓΙΝΑ</t>
  </si>
  <si>
    <t>ΑΗ776100</t>
  </si>
  <si>
    <t>ΚΑΠΑΤΣΟΥΛΙΑ</t>
  </si>
  <si>
    <t>ΑΙ772390</t>
  </si>
  <si>
    <t>ΔΑΦΑΡΑΝΟΥ</t>
  </si>
  <si>
    <t>ΑΟ311214</t>
  </si>
  <si>
    <t>ΑΚ371100</t>
  </si>
  <si>
    <t>ΣΤΕΡΓΙΩΤΗ</t>
  </si>
  <si>
    <t>Φ017966</t>
  </si>
  <si>
    <t>ΠΕΡΓΑΝΤΗ</t>
  </si>
  <si>
    <t>Χ047173</t>
  </si>
  <si>
    <t>ΚΑΡΑΠΑΤΑΚΗ</t>
  </si>
  <si>
    <t>ΑΚ023870</t>
  </si>
  <si>
    <t>ΠΑΤΣΑΚΗ</t>
  </si>
  <si>
    <t>ΑΚ151006</t>
  </si>
  <si>
    <t>ΚΑΡΤΣΑΚΗ</t>
  </si>
  <si>
    <t>Ρ826147</t>
  </si>
  <si>
    <t>ΚΑΡΑΚΑΜΕΝΟΥ</t>
  </si>
  <si>
    <t>ΑΙ031263</t>
  </si>
  <si>
    <t>ΚΑΡΤΣΙΟΥΝΗ</t>
  </si>
  <si>
    <t>ΑΜ853920</t>
  </si>
  <si>
    <t>ΓΡΗΓΟΡΑΚΗ</t>
  </si>
  <si>
    <t>ΑΒ110028</t>
  </si>
  <si>
    <t>ΑΒ870143</t>
  </si>
  <si>
    <t>ΓΚΡΙΤΖΑΛΗ</t>
  </si>
  <si>
    <t>ΠΑΤΡΑ</t>
  </si>
  <si>
    <t>Χ405588</t>
  </si>
  <si>
    <t>ΕΥΤΑΞΙΑΔΟΥ</t>
  </si>
  <si>
    <t>ΑΙ323399</t>
  </si>
  <si>
    <t>ΕΙΡΗΝΗ ΕΥΔΟΞΙΑ</t>
  </si>
  <si>
    <t>ΑΒ908085</t>
  </si>
  <si>
    <t>Σ440051</t>
  </si>
  <si>
    <t>ΑΚ643459</t>
  </si>
  <si>
    <t>ΓΚΕΒΟΡΓΚΙΑΝ</t>
  </si>
  <si>
    <t>ΑΝΙ</t>
  </si>
  <si>
    <t>ΡΑΝΤΙΚ</t>
  </si>
  <si>
    <t>ΑΜ922996</t>
  </si>
  <si>
    <t>ΑΖ011186</t>
  </si>
  <si>
    <t>ΑΗ253627</t>
  </si>
  <si>
    <t>ΑΗ746020</t>
  </si>
  <si>
    <t>ΦΑΣΟΥΛΑ</t>
  </si>
  <si>
    <t>ΑΖ772610</t>
  </si>
  <si>
    <t>ΓΚΟΥΝΤΩΝΗ</t>
  </si>
  <si>
    <t>ΑΗ299343</t>
  </si>
  <si>
    <t>ΑΙ128503</t>
  </si>
  <si>
    <t>ΡΟΥΜΠΕΚΑ</t>
  </si>
  <si>
    <t>Σ002503</t>
  </si>
  <si>
    <t>ΠΑΠΑΣΩΤΗΡΑ</t>
  </si>
  <si>
    <t>ΑΜ263268</t>
  </si>
  <si>
    <t>ΛΙΟΛΙΟΥ</t>
  </si>
  <si>
    <t>ΑΑ087226</t>
  </si>
  <si>
    <t>ΜΙΧΑΣΟΥΡΙΔΗ</t>
  </si>
  <si>
    <t>ΑΚ806481</t>
  </si>
  <si>
    <t>ΑΗ400691</t>
  </si>
  <si>
    <t>ΒΑΜΒΑΚΗ</t>
  </si>
  <si>
    <t>ΑΒ145056</t>
  </si>
  <si>
    <t>ΝΤΟΥΤΣΗ</t>
  </si>
  <si>
    <t>ΑΖ237372</t>
  </si>
  <si>
    <t>VARVIA</t>
  </si>
  <si>
    <t>EYAGGELIA</t>
  </si>
  <si>
    <t>XRHSTOS</t>
  </si>
  <si>
    <t>Σ697415</t>
  </si>
  <si>
    <t>ΣΤΑΜΟΥΛΤΑ</t>
  </si>
  <si>
    <t>Σ788116</t>
  </si>
  <si>
    <t>ΠΑΤΡΑΜΑΝΗ</t>
  </si>
  <si>
    <t>ΑΝ455717</t>
  </si>
  <si>
    <t>Τ807543</t>
  </si>
  <si>
    <t>ΠΕΠΟΝΗ</t>
  </si>
  <si>
    <t>Σ333917</t>
  </si>
  <si>
    <t>ΑΔΑΜΑΝΤΙΟΣ</t>
  </si>
  <si>
    <t>ΑΟ709036</t>
  </si>
  <si>
    <t>ΜΟΥΔΑΤΣΟΥ</t>
  </si>
  <si>
    <t>ΓΕΩΡΓΙΑ ΙΣΜΗΝΗ</t>
  </si>
  <si>
    <t>ΑΕ970624</t>
  </si>
  <si>
    <t>ΜΠΑΚΙΡΤΖΗ</t>
  </si>
  <si>
    <t>ΑΗ188119</t>
  </si>
  <si>
    <t>ΚΑΜΠΑΤΣΚΗ</t>
  </si>
  <si>
    <t>ΜΙΧΑΗΛ ΧΑΡΑΛΑΜΠΟΣ</t>
  </si>
  <si>
    <t>Σ291465</t>
  </si>
  <si>
    <t>ΤΣΙΛΙΜΟΥ</t>
  </si>
  <si>
    <t>ΚΥΡΙΑΚΗ ΜΑΡΙΑ</t>
  </si>
  <si>
    <t>Τ541652</t>
  </si>
  <si>
    <t>ΑΖ726183</t>
  </si>
  <si>
    <t>ΑΖ508100</t>
  </si>
  <si>
    <t>ΚΩΝΣΤΑΝΤΟΥ</t>
  </si>
  <si>
    <t>ΑΗ435377</t>
  </si>
  <si>
    <t>ΜΕΛΑΧΡΗ</t>
  </si>
  <si>
    <t>ΑΗ718036</t>
  </si>
  <si>
    <t>ΑΣΤΡΙΝΟΣ</t>
  </si>
  <si>
    <t>ΑΜ463826</t>
  </si>
  <si>
    <t>ΜΠΑΜΠΑΝΙΩΤΗ</t>
  </si>
  <si>
    <t>Χ327616</t>
  </si>
  <si>
    <t>ΜΠΟΥΓΙΑ</t>
  </si>
  <si>
    <t>ΑΗ550796</t>
  </si>
  <si>
    <t>ΑΗ879645</t>
  </si>
  <si>
    <t>ΛΙΑΠΑΚΗ</t>
  </si>
  <si>
    <t>ΑΑ079447</t>
  </si>
  <si>
    <t>ΚΟΥΡΤΕΝΛΗ</t>
  </si>
  <si>
    <t>Χ252050</t>
  </si>
  <si>
    <t>ΜΑΝΟΥΕΛΑ</t>
  </si>
  <si>
    <t>ΑΜ545216</t>
  </si>
  <si>
    <t>ΚΑΡΑΧΑΛΙΟΥ</t>
  </si>
  <si>
    <t>Ρ814309</t>
  </si>
  <si>
    <t>ΑΙ035715</t>
  </si>
  <si>
    <t>ΤΣΑΧΩΒΙΔΟΥ</t>
  </si>
  <si>
    <t>ΑΖ902299</t>
  </si>
  <si>
    <t>ΑΡ419920</t>
  </si>
  <si>
    <t>ΦΟΥΛΕΔΑΚΗ</t>
  </si>
  <si>
    <t>ΑΗ860800</t>
  </si>
  <si>
    <t>ΣΤΑΜΑΤΙΑΔΟΥ</t>
  </si>
  <si>
    <t>ΑΖ179343</t>
  </si>
  <si>
    <t>ΣΤΕΦΑΝΗ</t>
  </si>
  <si>
    <t>ΑΕ615689</t>
  </si>
  <si>
    <t>ΑΝ748363</t>
  </si>
  <si>
    <t>ΣΤΟΙΛΟΥΔΗ</t>
  </si>
  <si>
    <t>ΑΝ422203</t>
  </si>
  <si>
    <t>ΑΙ203204</t>
  </si>
  <si>
    <t>ΓΕΩΡΓΙΑΔΗ</t>
  </si>
  <si>
    <t>ΑΗ143072</t>
  </si>
  <si>
    <t>ΜΑΥΡΗ</t>
  </si>
  <si>
    <t>ΗΛΙΑΣ ΝΙΚΟΛΑΟΣ</t>
  </si>
  <si>
    <t>ΑΒ214176</t>
  </si>
  <si>
    <t>ΑΙ289704</t>
  </si>
  <si>
    <t>ΚΑΙΜΑΚΑΜΗ</t>
  </si>
  <si>
    <t>ΑΝ060942</t>
  </si>
  <si>
    <t xml:space="preserve">ΑΝΑΣΤΑΣΙΟΥ </t>
  </si>
  <si>
    <t>ΑΓΓΕΛΙΚΗ ΜΑΡΙΑ</t>
  </si>
  <si>
    <t>Χ875867</t>
  </si>
  <si>
    <t>ΑΗ183450</t>
  </si>
  <si>
    <t>ΤΣΙΡΙΜΠΑΣΗ</t>
  </si>
  <si>
    <t>ΑΚ988614</t>
  </si>
  <si>
    <t>ΝΕΡΑΝΤΖΑΚΗ</t>
  </si>
  <si>
    <t>Χ886990</t>
  </si>
  <si>
    <t>ΑΕ401135</t>
  </si>
  <si>
    <t>ΧΕΙΛΑΡΗ</t>
  </si>
  <si>
    <t>ΑΗ723296</t>
  </si>
  <si>
    <t>Χ390576</t>
  </si>
  <si>
    <t>ΝΤΗΒΑΡΤΖΗ</t>
  </si>
  <si>
    <t>ΑΚ469108</t>
  </si>
  <si>
    <t>ΑΗ305937</t>
  </si>
  <si>
    <t>ΜΥΣΤΑΚΙΔΟΥ</t>
  </si>
  <si>
    <t>ΑΗ365860</t>
  </si>
  <si>
    <t>ΡΑΦΑΕΛΑ ΚΩΝΣΤΑΝΤΙΝΑ</t>
  </si>
  <si>
    <t>ΑΚ919100</t>
  </si>
  <si>
    <t>ΦΡΑΓΚΙΔΗ</t>
  </si>
  <si>
    <t>ΧΡΙΣΤΙΝΑ ΙΩΑΝΝΑ</t>
  </si>
  <si>
    <t>ΑΚ340933</t>
  </si>
  <si>
    <t>ΑΗ214187</t>
  </si>
  <si>
    <t>ΤΣΙΟΜΠΑΝΟΥΔΗ</t>
  </si>
  <si>
    <t>ΑΕ922557</t>
  </si>
  <si>
    <t>Ξ669399</t>
  </si>
  <si>
    <t>Π233748</t>
  </si>
  <si>
    <t>ΚΟΥΔΡΟΥ</t>
  </si>
  <si>
    <t>Χ943589</t>
  </si>
  <si>
    <t>ΙΩΑΝΝΑ ΑΓΛΑΙΑ</t>
  </si>
  <si>
    <t>ΑΗ210409</t>
  </si>
  <si>
    <t>ΓΙΑΝΝΟΥ</t>
  </si>
  <si>
    <t>ΑΝ755431</t>
  </si>
  <si>
    <t>ΡΕΤΣΙΔΟΥ</t>
  </si>
  <si>
    <t>ΑΚ450697</t>
  </si>
  <si>
    <t>ΚΑΡΥΔΗ</t>
  </si>
  <si>
    <t>ΑΜ744460</t>
  </si>
  <si>
    <t>ΑΒ885995</t>
  </si>
  <si>
    <t>ΑΖ787895</t>
  </si>
  <si>
    <t>ΤΖΙΦΡΗ</t>
  </si>
  <si>
    <t>ΜΑΝΘΟΥΛΑ</t>
  </si>
  <si>
    <t>ΑΜ699874</t>
  </si>
  <si>
    <t>Σ881690</t>
  </si>
  <si>
    <t>Ρ044854</t>
  </si>
  <si>
    <t>ΑΓΡΙΟΥ</t>
  </si>
  <si>
    <t>ΜΑΡΙΝΑ ΜΑΡΙΑ</t>
  </si>
  <si>
    <t>ΑΟ316598</t>
  </si>
  <si>
    <t>ΣΤΕΡΓΙΑΝΝΗ</t>
  </si>
  <si>
    <t>ΑΝ428431</t>
  </si>
  <si>
    <t>ΖΥΜΠΙΔΟΥ</t>
  </si>
  <si>
    <t>ΑΜ396371</t>
  </si>
  <si>
    <t>ΑΖ787406</t>
  </si>
  <si>
    <t>ΣΟΥΡΜΕΛΗ</t>
  </si>
  <si>
    <t>Σ363464</t>
  </si>
  <si>
    <t>ΑΡΓΥΡΟΚΑΣΤΡΙΤΗ</t>
  </si>
  <si>
    <t>ΑΑ397408</t>
  </si>
  <si>
    <t>ΛΕΟΤΣΙΝΙΔΗ</t>
  </si>
  <si>
    <t>ΜΥΡΣΙΝΑ</t>
  </si>
  <si>
    <t>ΑΙ571913</t>
  </si>
  <si>
    <t>ΑΜ823758</t>
  </si>
  <si>
    <t>ΑΤΤΕΙΑ ΜΟΧΑΜΕΝΤ</t>
  </si>
  <si>
    <t>ΑΧΜΕΝΤ ΣΑΟΥΚΗ</t>
  </si>
  <si>
    <t>Τ271679</t>
  </si>
  <si>
    <t>ΚΙΟΥΤΣΟΥΚΗ</t>
  </si>
  <si>
    <t>ΑΚ753211</t>
  </si>
  <si>
    <t>ΑΖ405192</t>
  </si>
  <si>
    <t>ΟΥΖΟΥΝΣΤΕΦΑΝΗ</t>
  </si>
  <si>
    <t>ΠΑΡΑΣΧΟΣ</t>
  </si>
  <si>
    <t>ΑΙ167417</t>
  </si>
  <si>
    <t>ΤΣΕΓΓΕΝΕ</t>
  </si>
  <si>
    <t>ΑΒ436554</t>
  </si>
  <si>
    <t>ΑΙ298329</t>
  </si>
  <si>
    <t>ΚΩΣΤΟΥΛΑ</t>
  </si>
  <si>
    <t>ΑΒ403648</t>
  </si>
  <si>
    <t>ΑΓΓΕΛΑΚΗ</t>
  </si>
  <si>
    <t>ΙΩΑΝ</t>
  </si>
  <si>
    <t>ΝΤΑΜΠΟΥ</t>
  </si>
  <si>
    <t>Σ713199</t>
  </si>
  <si>
    <t>ΣΙΑΡΜΑΛΗ</t>
  </si>
  <si>
    <t>ΑΗ125749</t>
  </si>
  <si>
    <t>ΑΖ389834</t>
  </si>
  <si>
    <t>ΠΑΠΑΓΓΕΛΗ</t>
  </si>
  <si>
    <t>ΑΙ587367</t>
  </si>
  <si>
    <t>ΜΑΜΜΩΝΑ</t>
  </si>
  <si>
    <t>ΜΑΡΙΑ ΑΘΑΝΑΣΙΑ</t>
  </si>
  <si>
    <t>ΑΑ036502</t>
  </si>
  <si>
    <t>ΝΙΚΟΛΕΤΤΑ ΜΑΡΙΑ</t>
  </si>
  <si>
    <t>ΑΟ479137</t>
  </si>
  <si>
    <t>MITKOVA</t>
  </si>
  <si>
    <t>SILVIYA</t>
  </si>
  <si>
    <t>NENTSO</t>
  </si>
  <si>
    <t>ΛΑΖΑΡΗ</t>
  </si>
  <si>
    <t>ΑΚ587920</t>
  </si>
  <si>
    <t>ΑΛΕΞΑΝΔΡΙΔΟΥ</t>
  </si>
  <si>
    <t>ΑΟ371379</t>
  </si>
  <si>
    <t>ΑΕ672350</t>
  </si>
  <si>
    <t>ΜΑΚΡΟΠΟΥΛΟΥ</t>
  </si>
  <si>
    <t>ΣΤΡΑΤΗΓΟΥΛΑ</t>
  </si>
  <si>
    <t>Χ763746</t>
  </si>
  <si>
    <t>Χ631593</t>
  </si>
  <si>
    <t>ΑΑ232881</t>
  </si>
  <si>
    <t>ΑΒ436023</t>
  </si>
  <si>
    <t>ΜΑΛΑΔΑΚΗ</t>
  </si>
  <si>
    <t>Ρ831138</t>
  </si>
  <si>
    <t>ΖΗΤΗ</t>
  </si>
  <si>
    <t>ΑΙ858567</t>
  </si>
  <si>
    <t>ΑΜ058437</t>
  </si>
  <si>
    <t>ΗΛΙΑΣΚΟΥ</t>
  </si>
  <si>
    <t>ΑΕ661540</t>
  </si>
  <si>
    <t>ΝΙΚΟΛΟΥΔΑΚΗ</t>
  </si>
  <si>
    <t>ΑΙ454627</t>
  </si>
  <si>
    <t>ΤΣΑΒΛΙΔΟΥ</t>
  </si>
  <si>
    <t>ΑΖ678258</t>
  </si>
  <si>
    <t>ΚΑΡΑΜΑΝΛΗ</t>
  </si>
  <si>
    <t>ΑΟ280759</t>
  </si>
  <si>
    <t>ΑΡΣΕΝΗ</t>
  </si>
  <si>
    <t>Τ239656</t>
  </si>
  <si>
    <t>Χ416556</t>
  </si>
  <si>
    <t>ΛΗΜΝΑΙΟΥ</t>
  </si>
  <si>
    <t>Π775367</t>
  </si>
  <si>
    <t>ΕΛΕΝΗ ΕΥΔΟΞΙΑ</t>
  </si>
  <si>
    <t>ΑΗ291980</t>
  </si>
  <si>
    <t>ΑΗ354226</t>
  </si>
  <si>
    <t>ΚΑΡΚΑΝΤΖΙΝΟΥ</t>
  </si>
  <si>
    <t>Π045784</t>
  </si>
  <si>
    <t>ΑΚ450337</t>
  </si>
  <si>
    <t>ΓΙΑΛΑΜΟΥΔΗ</t>
  </si>
  <si>
    <t>ΑΝ212748</t>
  </si>
  <si>
    <t>ΑΖ273701</t>
  </si>
  <si>
    <t>ΠΕΡΠΕΤΣΗ</t>
  </si>
  <si>
    <t>ΑΚ443080</t>
  </si>
  <si>
    <t>ΠΥΘΑΡΟΥΛΗ</t>
  </si>
  <si>
    <t>ΑΒ185671</t>
  </si>
  <si>
    <t>ΑΚ872933</t>
  </si>
  <si>
    <t>ΣΤΕΦΟΥΔΗ</t>
  </si>
  <si>
    <t>ΑΖ177485</t>
  </si>
  <si>
    <t>ΜΟΥΣΤΑΚΑ</t>
  </si>
  <si>
    <t>ΑΚ657429</t>
  </si>
  <si>
    <t>Χ476742</t>
  </si>
  <si>
    <t>ΣΤΑΓΑΚΗ</t>
  </si>
  <si>
    <t>ΑΖ970518</t>
  </si>
  <si>
    <t>ΣΒΟΡΩΝΟΥ</t>
  </si>
  <si>
    <t>ΓΑΡΙΦΑΛΙΑ</t>
  </si>
  <si>
    <t>ΑΟ700078</t>
  </si>
  <si>
    <t>ΑΗ056300</t>
  </si>
  <si>
    <t>ΜΑΡΚΟΥΙΖΟΥ</t>
  </si>
  <si>
    <t>ΑΙ121759</t>
  </si>
  <si>
    <t>ΑΚ472805</t>
  </si>
  <si>
    <t>ΓΙΑΝΤΣΟΥΛΗ</t>
  </si>
  <si>
    <t>Φ274517</t>
  </si>
  <si>
    <t>ΧΑΝΙΩΤΑΚΗ</t>
  </si>
  <si>
    <t>Χ602689</t>
  </si>
  <si>
    <t>ΑΕ233748</t>
  </si>
  <si>
    <t>ΜΑΣΤΟΡΑΚΗ</t>
  </si>
  <si>
    <t>ΑΙ679549</t>
  </si>
  <si>
    <t>ΣΕΙΝΤΗ</t>
  </si>
  <si>
    <t>Χ296245</t>
  </si>
  <si>
    <t>ΣΙΑΚΑΒΑΡΑ</t>
  </si>
  <si>
    <t>ΑΗ267324</t>
  </si>
  <si>
    <t>ΚΑΤΖΑΚΗ</t>
  </si>
  <si>
    <t>Χ496413</t>
  </si>
  <si>
    <t>ΑΛΕΙΦΤΗΡΑ</t>
  </si>
  <si>
    <t>ΑΟ163070</t>
  </si>
  <si>
    <t>ΝΤΑΟΥΤ</t>
  </si>
  <si>
    <t>ΕΜΡΟΥ</t>
  </si>
  <si>
    <t>ΛΟΥΤΦΗ</t>
  </si>
  <si>
    <t>ΑΗ400682</t>
  </si>
  <si>
    <t>ΚΟΥΜΠΟΥΡΑ</t>
  </si>
  <si>
    <t>ΑΗ790274</t>
  </si>
  <si>
    <t>ΑΓΓΕΛΑΚΟΠΟΥΛΟΥ</t>
  </si>
  <si>
    <t>ΑΖ891231</t>
  </si>
  <si>
    <t>ΓΙΟΥΣΙΑ</t>
  </si>
  <si>
    <t>ΑΗ771867</t>
  </si>
  <si>
    <t>ΑΙ524764</t>
  </si>
  <si>
    <t>ΤΑΣΟΠΟΥΛΟΥ</t>
  </si>
  <si>
    <t>ΑΕ343920</t>
  </si>
  <si>
    <t>ΚΟΡΟΣΤΕΛΗ</t>
  </si>
  <si>
    <t>ΑΕ418391</t>
  </si>
  <si>
    <t>ΑΗ377320</t>
  </si>
  <si>
    <t>Φ497490</t>
  </si>
  <si>
    <t>ΜΑΝΟΥΣΑΚΑΚΗ</t>
  </si>
  <si>
    <t>Σ629200</t>
  </si>
  <si>
    <t>ΣΙΓΚΑ</t>
  </si>
  <si>
    <t>ΑΖ343751</t>
  </si>
  <si>
    <t>ΚΑΤΣΟΥΔΑ</t>
  </si>
  <si>
    <t>ΕΥΤΕΡΠΗ</t>
  </si>
  <si>
    <t>Σ466409</t>
  </si>
  <si>
    <t>ΑΗ817401</t>
  </si>
  <si>
    <t>ΞΥΛΟΠΑΡΚΙΩΤΗ</t>
  </si>
  <si>
    <t>ΑΙ837285</t>
  </si>
  <si>
    <t>ΤΡΟΥΛΛΙΝΟΥ</t>
  </si>
  <si>
    <t>ΑΟ438018</t>
  </si>
  <si>
    <t>ΚΩΣΤΑΚΑΚΗ</t>
  </si>
  <si>
    <t>ΑΜ666481</t>
  </si>
  <si>
    <t>ΣΥΛΛΙΓΑΡΔΑΚΗ</t>
  </si>
  <si>
    <t>ΧΡΥΣΟΒΑΛΑΝΤΗ</t>
  </si>
  <si>
    <t>ΑΙ081709</t>
  </si>
  <si>
    <t>Ρ235698</t>
  </si>
  <si>
    <t>ΚΙΚΗ</t>
  </si>
  <si>
    <t>ΑΕ724789</t>
  </si>
  <si>
    <t>ΚΕΜΠΑΠΤΣΗ</t>
  </si>
  <si>
    <t>ΑΖ398414</t>
  </si>
  <si>
    <t>Σ882257</t>
  </si>
  <si>
    <t>ΑΙ601696</t>
  </si>
  <si>
    <t>ΕΛΕΝΗ ΑΙΚΑΤΕΡΙΝΗ</t>
  </si>
  <si>
    <t>ΑΝ998584</t>
  </si>
  <si>
    <t>ΜΑΡΓΙΟΡΙΔΟΥ</t>
  </si>
  <si>
    <t>ΑΚ936843</t>
  </si>
  <si>
    <t>ΑΝ191614</t>
  </si>
  <si>
    <t>ΚΑΡΚΑΝΗ</t>
  </si>
  <si>
    <t>ΑΗ944704</t>
  </si>
  <si>
    <t>ΜΑΓΓΑΝΑ</t>
  </si>
  <si>
    <t>Χ132487</t>
  </si>
  <si>
    <t>ΔΟΥΛΓΚΕΡΗ</t>
  </si>
  <si>
    <t>ΑΙ365184</t>
  </si>
  <si>
    <t>ΖΕΜΠΙΛΗ</t>
  </si>
  <si>
    <t>ΑΜ009966</t>
  </si>
  <si>
    <t>ΜΠΟΥΣΜΠΟΥΡΑ</t>
  </si>
  <si>
    <t>ΑΕ732970</t>
  </si>
  <si>
    <t>ΑΗ188746</t>
  </si>
  <si>
    <t>ΜΑΛΑΜΑΤΑ</t>
  </si>
  <si>
    <t>Χ250827</t>
  </si>
  <si>
    <t>ΚΑΤΣΙΝΙΚΑ</t>
  </si>
  <si>
    <t>ΑΚ386997</t>
  </si>
  <si>
    <t>ΚΑΨΑΛΗ</t>
  </si>
  <si>
    <t>ΑΙ661914</t>
  </si>
  <si>
    <t>ΚΟΥΚΗ</t>
  </si>
  <si>
    <t>ΑΒ598293</t>
  </si>
  <si>
    <t>ΚΟΥΤΛΗ</t>
  </si>
  <si>
    <t>ΑΜ956068</t>
  </si>
  <si>
    <t>ΜΠΙΚΑ</t>
  </si>
  <si>
    <t>ΑΙ691490</t>
  </si>
  <si>
    <t>ΑΙ773974</t>
  </si>
  <si>
    <t>ΣΑΛΟΥΣΤΡΟΥ</t>
  </si>
  <si>
    <t>ΑΖ469510</t>
  </si>
  <si>
    <t>Χ920595</t>
  </si>
  <si>
    <t>ΠΙΣΠΙΝΗ</t>
  </si>
  <si>
    <t>ΡΑΦΑΗΛΙΑ</t>
  </si>
  <si>
    <t>ΑΙ783845</t>
  </si>
  <si>
    <t>ΕΛΗΑ</t>
  </si>
  <si>
    <t>ΑΙ434973</t>
  </si>
  <si>
    <t>ΑΙ229834</t>
  </si>
  <si>
    <t>ΑΕ475103</t>
  </si>
  <si>
    <t>ΔΑΝΕΛΗ</t>
  </si>
  <si>
    <t>Χ331806</t>
  </si>
  <si>
    <t>ΑΜ881095</t>
  </si>
  <si>
    <t>ΚΟΥΤΣΙΑΡΗ</t>
  </si>
  <si>
    <t>Χ252715</t>
  </si>
  <si>
    <t>ΚΑΓΙΟΥΔΗ</t>
  </si>
  <si>
    <t>ΑΒ903877</t>
  </si>
  <si>
    <t>ΠΟΛΥΧΡΟΝΗ</t>
  </si>
  <si>
    <t>ΕΛΕΝΗ ΣΟΦΙΑ</t>
  </si>
  <si>
    <t>Π566068</t>
  </si>
  <si>
    <t>ΓΚΟΥΒΕΡΟΥ</t>
  </si>
  <si>
    <t>ΑΗ721834</t>
  </si>
  <si>
    <t>ΤΣΙΑΜΗ</t>
  </si>
  <si>
    <t>ΑΟ580464</t>
  </si>
  <si>
    <t>ΔΑΔΑΡΟΥ</t>
  </si>
  <si>
    <t>ΑΖ883649</t>
  </si>
  <si>
    <t>ΚΩΝΣΤΑΝΤΙΝΟΥ</t>
  </si>
  <si>
    <t>ΑΖ651767</t>
  </si>
  <si>
    <t>ΕΛΕΝΗ ΑΝΝΑ</t>
  </si>
  <si>
    <t>ΑΜ458039</t>
  </si>
  <si>
    <t>ΤΡΙΑΝΤΑΦΥΛΛΟΠΟΥΛΟΥ</t>
  </si>
  <si>
    <t>ΑΝ806421</t>
  </si>
  <si>
    <t>ΤΣΕΡΤΣΙΔΟΥ</t>
  </si>
  <si>
    <t xml:space="preserve"> ΣΕΡΑΦΕΙΜ</t>
  </si>
  <si>
    <t>ΑΒ354580</t>
  </si>
  <si>
    <t>ΔΑΛΔΑΒΑΝΗ</t>
  </si>
  <si>
    <t>ΧΡΥΣΟΒΑΛΕΝΤΙΝΑ</t>
  </si>
  <si>
    <t>ΑΒ939341</t>
  </si>
  <si>
    <t>ΠΑΠΑΔΟΠΟΥΛΟΣ</t>
  </si>
  <si>
    <t>ΑΟ095337</t>
  </si>
  <si>
    <t>Χ974211</t>
  </si>
  <si>
    <t>ΧΑΛΝΑΡΙΔΟΥ</t>
  </si>
  <si>
    <t>ΑΖ663175</t>
  </si>
  <si>
    <t>ΠΑΠΠΑΣ</t>
  </si>
  <si>
    <t>ΑΗ133152</t>
  </si>
  <si>
    <t>ΑΚ413955</t>
  </si>
  <si>
    <t>Χ107941</t>
  </si>
  <si>
    <t>ΤΖΗΚΑ</t>
  </si>
  <si>
    <t>ΑΚ981539</t>
  </si>
  <si>
    <t>ΣΦΙΚΤΟΥ</t>
  </si>
  <si>
    <t>ΑΕ609722</t>
  </si>
  <si>
    <t>ΑΜ458689</t>
  </si>
  <si>
    <t>ΤΣΟΚΟΥ</t>
  </si>
  <si>
    <t>ΑΟ843835</t>
  </si>
  <si>
    <t>ΑΛΠΟΥ</t>
  </si>
  <si>
    <t>ΑΒ463048</t>
  </si>
  <si>
    <t>ΚΟΣΜΑ</t>
  </si>
  <si>
    <t>ΑΖ298342</t>
  </si>
  <si>
    <t>ΜΗΤΟΥΔΗ</t>
  </si>
  <si>
    <t>ΑΖ350590</t>
  </si>
  <si>
    <t>ΛΟΥΣΗ</t>
  </si>
  <si>
    <t>Τ437671</t>
  </si>
  <si>
    <t>ΜΗΤΣΗ</t>
  </si>
  <si>
    <t>ΑΗ730552</t>
  </si>
  <si>
    <t>ΝΑΝΗ</t>
  </si>
  <si>
    <t>ΑΝ947047</t>
  </si>
  <si>
    <t>ΑΔΑΜΙΚΟΥ</t>
  </si>
  <si>
    <t>ΑΕ817014</t>
  </si>
  <si>
    <t>ΠΕΣΕΡΙΔΟΥ</t>
  </si>
  <si>
    <t>ΑΝ894536</t>
  </si>
  <si>
    <t>ΜΗΤΡΑΚΟΥ</t>
  </si>
  <si>
    <t>ΑΝ829397</t>
  </si>
  <si>
    <t>ΔΟΜΛΕΛΕ</t>
  </si>
  <si>
    <t>ΑΗ037750</t>
  </si>
  <si>
    <t xml:space="preserve">ΜΑΖΑΡΑΚΗ </t>
  </si>
  <si>
    <t xml:space="preserve">ΑΒΡΑΑΜ </t>
  </si>
  <si>
    <t>Τ043463</t>
  </si>
  <si>
    <t>ΛΑΤΣΟΥΔΑ</t>
  </si>
  <si>
    <t>ΑΒ491303</t>
  </si>
  <si>
    <t>ΜΙΧΕΛΗ</t>
  </si>
  <si>
    <t>ΕΜΜΑΝΟΥΗΛΙΑ ΑΘΗΝΑ</t>
  </si>
  <si>
    <t>ΑΙ429717</t>
  </si>
  <si>
    <t>ΑΜΠΑΡΑ</t>
  </si>
  <si>
    <t>ΑΜΠΑΡΑΣ</t>
  </si>
  <si>
    <t>ΑΕ368312</t>
  </si>
  <si>
    <t>ΝΤΕΛΕΔΗΜΟΥ</t>
  </si>
  <si>
    <t>ΑΙ302731</t>
  </si>
  <si>
    <t>ΚΑΤΖΗΛΑΚΗ</t>
  </si>
  <si>
    <t>ΕΥΡΙΚΛΕΙΑ ΚΑΛΛΙΟΠΗ</t>
  </si>
  <si>
    <t>ΑΗ964066</t>
  </si>
  <si>
    <t>ΡΟΥΚΗ</t>
  </si>
  <si>
    <t>ΑΡ069294</t>
  </si>
  <si>
    <t>ΑΕ984525</t>
  </si>
  <si>
    <t>ΑΚ907969</t>
  </si>
  <si>
    <t>ΚΟΡΟΞΕΝΟΥ</t>
  </si>
  <si>
    <t>ΑΒΕΣΑΛΩΜ</t>
  </si>
  <si>
    <t>ΑΚ433760</t>
  </si>
  <si>
    <t>ΠΙΤΣΙΛΑΔΗ</t>
  </si>
  <si>
    <t>Χ112413</t>
  </si>
  <si>
    <t>ΑΕ750666</t>
  </si>
  <si>
    <t>ΝΤΑΝΤΙΔΑΚΗ</t>
  </si>
  <si>
    <t>Ρ483552</t>
  </si>
  <si>
    <t>ΠΛΑΤΑΚΗ</t>
  </si>
  <si>
    <t>ΑΖ959467</t>
  </si>
  <si>
    <t>ΔΙΟΝΥΣΙΑ ΑΓΓΕΛΙΚΗ</t>
  </si>
  <si>
    <t>ΑΑ918246</t>
  </si>
  <si>
    <t>ΣΗΦΑΚΗ</t>
  </si>
  <si>
    <t>ΑΜ466588</t>
  </si>
  <si>
    <t>ΜΥΣΤΡΙΩΤΗ</t>
  </si>
  <si>
    <t>ΑΚ491402</t>
  </si>
  <si>
    <t>ΣΙΝΟΥ</t>
  </si>
  <si>
    <t>Φ219412</t>
  </si>
  <si>
    <t>ΚΑΛΤΣΙΔΟΥ</t>
  </si>
  <si>
    <t>ΑΖ827146</t>
  </si>
  <si>
    <t>ΣΙΣΚΟΥ</t>
  </si>
  <si>
    <t>ΑΖ916429</t>
  </si>
  <si>
    <t>ΑΜ744545</t>
  </si>
  <si>
    <t>ΑΚ917758</t>
  </si>
  <si>
    <t>ΜΙΡΜΙΤΙΔΟΥ</t>
  </si>
  <si>
    <t>ΑΚ983088</t>
  </si>
  <si>
    <t>ΑΗ227763</t>
  </si>
  <si>
    <t>ΑΑ303143</t>
  </si>
  <si>
    <t>ΑΗ689420</t>
  </si>
  <si>
    <t>ΚΟΚΚΙΝΗ</t>
  </si>
  <si>
    <t>ΑΜ793783</t>
  </si>
  <si>
    <t>ΑΜ733653</t>
  </si>
  <si>
    <t>ΘΩΜΟΓΛΟΥ</t>
  </si>
  <si>
    <t>ΑΖ653375</t>
  </si>
  <si>
    <t>ΚΕΝΤΕΠΟΖΙΔΗ</t>
  </si>
  <si>
    <t>ΛΟΥΚΙΑΝΟΣ</t>
  </si>
  <si>
    <t>ΑΝ118883</t>
  </si>
  <si>
    <t>ΦΑΝΙΑΔΟΥ</t>
  </si>
  <si>
    <t>ΑΙ349953</t>
  </si>
  <si>
    <t>ΔΡΟΣΟΠΟΥΛΟΥ</t>
  </si>
  <si>
    <t>Τ270671</t>
  </si>
  <si>
    <t>ΑΚ416392</t>
  </si>
  <si>
    <t>ΑΗ717494</t>
  </si>
  <si>
    <t>ΚΟΝΤΙΔΟΥ</t>
  </si>
  <si>
    <t>Χ230350</t>
  </si>
  <si>
    <t>ΑΙ289260</t>
  </si>
  <si>
    <t>ΑΙ844587</t>
  </si>
  <si>
    <t>ΜΠΟΤΣΗ</t>
  </si>
  <si>
    <t>ΑΣΘΕΡΙΑΝΝΑ</t>
  </si>
  <si>
    <t>ΑΚ558786</t>
  </si>
  <si>
    <t>ΔΑΝΕΙΛΟΠΟΥΛΟΥ</t>
  </si>
  <si>
    <t>Ρ593312</t>
  </si>
  <si>
    <t>ΣΙΜΟΥ</t>
  </si>
  <si>
    <t>ΑΙ696766</t>
  </si>
  <si>
    <t>ΚΑΣΙΜΙΩΤΗ</t>
  </si>
  <si>
    <t>Φ122506</t>
  </si>
  <si>
    <t>ΚΟΣΜΗΝΑ ΑΡΓΥΡΩ</t>
  </si>
  <si>
    <t>ΑΚ365391</t>
  </si>
  <si>
    <t>ΚΑΦΕΤΖΗ</t>
  </si>
  <si>
    <t>ΑΟ281159</t>
  </si>
  <si>
    <t>ΑΖ238810</t>
  </si>
  <si>
    <t>ΜΟΧΑΜΕΤ</t>
  </si>
  <si>
    <t>ΦΑΤΧΕΙΑ ΔΩΡΑ</t>
  </si>
  <si>
    <t>ΓΚΑΜΑΛ ΕΛ ΝΤΙΝ</t>
  </si>
  <si>
    <t>ΑΕ578084</t>
  </si>
  <si>
    <t>ΚΟΥΒΑΤΣΟΥ</t>
  </si>
  <si>
    <t>ΑΜ519034</t>
  </si>
  <si>
    <t xml:space="preserve">ΚΡΗΤΙΚΟΠΟΥΛΟΥ </t>
  </si>
  <si>
    <t>ΑΜ262283</t>
  </si>
  <si>
    <t>ΚΑΡΑΚΕΙΣΟΓΛΟΥ</t>
  </si>
  <si>
    <t>ΑΚ446595</t>
  </si>
  <si>
    <t>ΑΝΔΡΕΑΝΙΔΟΥ</t>
  </si>
  <si>
    <t>Π954400</t>
  </si>
  <si>
    <t>ΑΡΕΤΙΝΗ</t>
  </si>
  <si>
    <t>Χ851902</t>
  </si>
  <si>
    <t>ΜΑΡΜΑΓΚΑΛΟΥ</t>
  </si>
  <si>
    <t>ΑΝ345842</t>
  </si>
  <si>
    <t>ΜΕΛΕΤΙΑΔΟΥ</t>
  </si>
  <si>
    <t>ΑΟ214954</t>
  </si>
  <si>
    <t>ΦΥΛΑΚΤΑΚΗ</t>
  </si>
  <si>
    <t>ΑΜ282911</t>
  </si>
  <si>
    <t>ΚΟΥΤΣΟΠΟΥΛΟΥ</t>
  </si>
  <si>
    <t>ΤΡΙΣΕΥΓΕΝΗ</t>
  </si>
  <si>
    <t>ΑΚ201780</t>
  </si>
  <si>
    <t>ΚΟΥΝΑΔΗ</t>
  </si>
  <si>
    <t>ΑΒ070565</t>
  </si>
  <si>
    <t>ΧΑΣΤΑ</t>
  </si>
  <si>
    <t>ΑΜ586477</t>
  </si>
  <si>
    <t>ΤΈΓΟΥ</t>
  </si>
  <si>
    <t>ΠΑΡΑΣΚΕΥΉ ΖΩΉ</t>
  </si>
  <si>
    <t>ΑΑ335269</t>
  </si>
  <si>
    <t>ΑΗ923064</t>
  </si>
  <si>
    <t>ΑΗ893818</t>
  </si>
  <si>
    <t>ΣΟΥΛΕΙΜΑΝ</t>
  </si>
  <si>
    <t>ΜΠΑΧΑΡ</t>
  </si>
  <si>
    <t>ΣΑΜΠΑΝ</t>
  </si>
  <si>
    <t>ΑΑ453044</t>
  </si>
  <si>
    <t>ΓΑΛΑΡΑ</t>
  </si>
  <si>
    <t>ΑΜ278393</t>
  </si>
  <si>
    <t>ΣΙΩΠΗ</t>
  </si>
  <si>
    <t>ΑΙ330070</t>
  </si>
  <si>
    <t>ΡΟΥΓΚΑΛΑ</t>
  </si>
  <si>
    <t>ΑΒ381605</t>
  </si>
  <si>
    <t>ΚΩΝΣΤΑΝΤΝΑ</t>
  </si>
  <si>
    <t>ΑΕ714999</t>
  </si>
  <si>
    <t>ΒΑΣΙΛΙΣΑ</t>
  </si>
  <si>
    <t>ΑΝ513642</t>
  </si>
  <si>
    <t>ΚΟΥΤΣΩΝΗ</t>
  </si>
  <si>
    <t>ΡΟΥΣΑΝΝΑ</t>
  </si>
  <si>
    <t>Τ353847</t>
  </si>
  <si>
    <t>ΚΙΟΥΜΟΥΡΤΖΗ</t>
  </si>
  <si>
    <t>ΑΗ392814</t>
  </si>
  <si>
    <t>ΧΑΡΠΑΝΤΙΔΟΥ</t>
  </si>
  <si>
    <t>ΑΚ129071</t>
  </si>
  <si>
    <t>ΠΑΠΑΣΤΑΜΟΥΛΟΥ</t>
  </si>
  <si>
    <t>ΑΝ490653</t>
  </si>
  <si>
    <t>ΠΥΡΡΟΣ</t>
  </si>
  <si>
    <t>ΑΜ174343</t>
  </si>
  <si>
    <t>ΠΟΛΥΧΡΟΝΙΑΔΟΥ</t>
  </si>
  <si>
    <t>ΑΚ982472</t>
  </si>
  <si>
    <t>ΑΙ799909</t>
  </si>
  <si>
    <t>ΣΤΕΡΓΙΟΠΟΥΛΟΥ</t>
  </si>
  <si>
    <t>ΑΗ702748</t>
  </si>
  <si>
    <t>ΑΕ815131</t>
  </si>
  <si>
    <t>ΦΕΣΚΟΥ</t>
  </si>
  <si>
    <t>ΑΟ525988</t>
  </si>
  <si>
    <t>ΛΑΜΠΑΔΑ</t>
  </si>
  <si>
    <t>ΑΖ868849</t>
  </si>
  <si>
    <t xml:space="preserve">ΙΑΤΡΟΎ </t>
  </si>
  <si>
    <t>ΘΕΟΔΏΡΑ</t>
  </si>
  <si>
    <t>ΧΑΡΆΛΑΜΠΟΣ</t>
  </si>
  <si>
    <t>ΑΙ002396</t>
  </si>
  <si>
    <t>ΛΕΝΤΖΟΥ</t>
  </si>
  <si>
    <t>ΑΒ092245</t>
  </si>
  <si>
    <t>ΒΑΡΟΤΣΗ</t>
  </si>
  <si>
    <t>ΗΡΩ</t>
  </si>
  <si>
    <t>ΑΝ098162</t>
  </si>
  <si>
    <t>ΜΙΧΑΣΟΥΡΙΔΟΥ</t>
  </si>
  <si>
    <t>Τ111591</t>
  </si>
  <si>
    <t>ΣΟΦΟΥΛΗ</t>
  </si>
  <si>
    <t>ΑΡ296098</t>
  </si>
  <si>
    <t>ΧΑΡΑΤΣΑΡΗ</t>
  </si>
  <si>
    <t>ΛΟΥΜΙΝΙΤΣΑ ΦΩΤΕΙΝΗ</t>
  </si>
  <si>
    <t>ΑΒ388209</t>
  </si>
  <si>
    <t>ΚΑΝΑΤΑ</t>
  </si>
  <si>
    <t>ΙΩΑΝΝΑ ΕΙΡΗΝΗ</t>
  </si>
  <si>
    <t>ΑΑ351381</t>
  </si>
  <si>
    <t>ΓΕΩΡΓΑΝΤΕΛΗ</t>
  </si>
  <si>
    <t>ΑΙ388527</t>
  </si>
  <si>
    <t>ΑΓΟΡΑΚΗ</t>
  </si>
  <si>
    <t>ΑΜ435520</t>
  </si>
  <si>
    <t>ΚΑΡΟΤΣΕΡΗ</t>
  </si>
  <si>
    <t>Σ968557</t>
  </si>
  <si>
    <t>ΚΟΥΓΚΑ</t>
  </si>
  <si>
    <t>ΑΙ891315</t>
  </si>
  <si>
    <t>Χ704517</t>
  </si>
  <si>
    <t>ΑΗ887643</t>
  </si>
  <si>
    <t>ΤΑΒΛΑΔΑΚΗ</t>
  </si>
  <si>
    <t>ΑΜ967994</t>
  </si>
  <si>
    <t>ΚΑΡΑΓΙΑΝΝΙΔΟΥ</t>
  </si>
  <si>
    <t>ΑΖ869210</t>
  </si>
  <si>
    <t>ΜΠΑΣΑΚΟΥ</t>
  </si>
  <si>
    <t>ΑΖ858440</t>
  </si>
  <si>
    <t>Χ489531</t>
  </si>
  <si>
    <t>ΑΦΕΝΔΡΑ</t>
  </si>
  <si>
    <t>ΑΙ488491</t>
  </si>
  <si>
    <t>ΓΚΙΒΙΣΗ</t>
  </si>
  <si>
    <t>ΑΟ161853</t>
  </si>
  <si>
    <t>ΠΟΥΛΟΠΟΥΛΟΥ</t>
  </si>
  <si>
    <t>ΑΕ834605</t>
  </si>
  <si>
    <t>ΧΑΛΔΟΥΠΗ</t>
  </si>
  <si>
    <t>ΑΙ327303</t>
  </si>
  <si>
    <t>ΑΗ768848</t>
  </si>
  <si>
    <t>ΑΝ872878</t>
  </si>
  <si>
    <t>ΑΒ421907</t>
  </si>
  <si>
    <t>ΠΛΙΑΚΟΥ</t>
  </si>
  <si>
    <t>ΑΑ851477</t>
  </si>
  <si>
    <t>Τ322233</t>
  </si>
  <si>
    <t>ΜΠΡΑΟΥΔΑΚΗ</t>
  </si>
  <si>
    <t>ΑΚ508729</t>
  </si>
  <si>
    <t>ΑΝ457744</t>
  </si>
  <si>
    <t>ΑΜ548557</t>
  </si>
  <si>
    <t>ΠΑΠΑΝΔΡΕΟΥ</t>
  </si>
  <si>
    <t>ΑΚ977253</t>
  </si>
  <si>
    <t>ΤΣΑΓΚΑΤΟΥ</t>
  </si>
  <si>
    <t>ΑΖ937078</t>
  </si>
  <si>
    <t>ΠΑΠΑΔΑΤΟΥ</t>
  </si>
  <si>
    <t>Χ565939</t>
  </si>
  <si>
    <t>ΦΑΡΗ</t>
  </si>
  <si>
    <t>ΑΙ309516</t>
  </si>
  <si>
    <t>ΒΟΥΜΒΑ</t>
  </si>
  <si>
    <t>ΑΖ056916</t>
  </si>
  <si>
    <t>Τ057707</t>
  </si>
  <si>
    <t>ΡΟΥΜΕΛΙΩΤΗ</t>
  </si>
  <si>
    <t>ΑΕ556566</t>
  </si>
  <si>
    <t>ΚΑΜΠΕΡΗ</t>
  </si>
  <si>
    <t>ΑΙ833807</t>
  </si>
  <si>
    <t>ΜΩΚΑ</t>
  </si>
  <si>
    <t>ΑΗ475385</t>
  </si>
  <si>
    <t>ΑΕ460094</t>
  </si>
  <si>
    <t>ΑΗ953783</t>
  </si>
  <si>
    <t>ΔΑΓΚΛΗ</t>
  </si>
  <si>
    <t>ΑΜ190896</t>
  </si>
  <si>
    <t>ΚΥΠΡΙΖΟΓΛΟΥ</t>
  </si>
  <si>
    <t>ΑΖ662562</t>
  </si>
  <si>
    <t>ΓΕΩΡΓΟΛΟΠΟΥΛΟΥ</t>
  </si>
  <si>
    <t>ΑΗ769517</t>
  </si>
  <si>
    <t>ΠΙΣΤΟΛΑ</t>
  </si>
  <si>
    <t>ΑΡΚΑΔΙΟΣ</t>
  </si>
  <si>
    <t>ΑΗ416929</t>
  </si>
  <si>
    <t>ΑΑ479327</t>
  </si>
  <si>
    <t>ΔΟΥΜΠΑ</t>
  </si>
  <si>
    <t>ΑΗ342014</t>
  </si>
  <si>
    <t>ΚΑΤΣΟΥΓΙΑΝΝΗ</t>
  </si>
  <si>
    <t>ΔΗΜΗΤ</t>
  </si>
  <si>
    <t>ΑΟ793749</t>
  </si>
  <si>
    <t>Χ970979</t>
  </si>
  <si>
    <t>ΓΚΑΡΑΓΚΑΝΗ</t>
  </si>
  <si>
    <t>ΑΖ269827</t>
  </si>
  <si>
    <t>ΚΟΥΛΙΑΝΟΥ</t>
  </si>
  <si>
    <t>ΑΒ273048</t>
  </si>
  <si>
    <t>ΚΟΥΓΙΩΝΗ</t>
  </si>
  <si>
    <t>ΑΗ803370</t>
  </si>
  <si>
    <t>ΑΓΛΑΙΑ ΠΑΡΑΣΚΕΥΗ</t>
  </si>
  <si>
    <t>ΑΖ761931</t>
  </si>
  <si>
    <t>ΛΙΑΝΙΔΟΥ</t>
  </si>
  <si>
    <t>ΕΥΑΓΓΕΛΙΑ ΜΑΡΙΝΑ</t>
  </si>
  <si>
    <t>ΑΚ939027</t>
  </si>
  <si>
    <t>ΤΖΕΚΑΚΗ</t>
  </si>
  <si>
    <t>ΑΟ485735</t>
  </si>
  <si>
    <t>Ν980534</t>
  </si>
  <si>
    <t>ΤΣΑΚΙΡΙΔΟΥ</t>
  </si>
  <si>
    <t>ΑΖ614686</t>
  </si>
  <si>
    <t>ΚΑΣΑΠΙΔΟΥ</t>
  </si>
  <si>
    <t>ΑΝ201334</t>
  </si>
  <si>
    <t>ΠΙΣΤΙΩΛΗ</t>
  </si>
  <si>
    <t>ΑΖ220088</t>
  </si>
  <si>
    <t>ΧΑΧΟΛΑΚΗ</t>
  </si>
  <si>
    <t>Χ078627</t>
  </si>
  <si>
    <t>ΠΙΟΒΗΤΟΥ</t>
  </si>
  <si>
    <t>ΑΖ803914</t>
  </si>
  <si>
    <t>ΓΙΑΝΝΟΥΣΗ</t>
  </si>
  <si>
    <t>ΑΗ808793</t>
  </si>
  <si>
    <t>ΠΕΤΡΟΥ</t>
  </si>
  <si>
    <t>ΑΖ286227</t>
  </si>
  <si>
    <t>ΡΕΠΑΝΗ</t>
  </si>
  <si>
    <t>ΑΒ423594</t>
  </si>
  <si>
    <t>ΜΕΚΡΑ</t>
  </si>
  <si>
    <t>ΑΙ836771</t>
  </si>
  <si>
    <t>ΔΡΑΚΟΥ</t>
  </si>
  <si>
    <t>ΑΒ541512</t>
  </si>
  <si>
    <t>ΜΠΑΡΔΑΝΗ</t>
  </si>
  <si>
    <t>ΑΟ191445</t>
  </si>
  <si>
    <t>ΑΑ480344</t>
  </si>
  <si>
    <t>ΓΚΙΖΛΗ</t>
  </si>
  <si>
    <t>ΑΑ970346</t>
  </si>
  <si>
    <t>ΑΣΒΕΣΤΑ</t>
  </si>
  <si>
    <t>ΠΟΥΛΧΕΡΙΑ</t>
  </si>
  <si>
    <t>ΑΖ294209</t>
  </si>
  <si>
    <t>Χ923991</t>
  </si>
  <si>
    <t>ΜΠΟΥΛΓΟΥΡΑ</t>
  </si>
  <si>
    <t>ΑΙ727728</t>
  </si>
  <si>
    <t>ΑΖ442084</t>
  </si>
  <si>
    <t>ΑΣΗΜΙΝΑΚΗ</t>
  </si>
  <si>
    <t>ΑΙ452133</t>
  </si>
  <si>
    <t>ΑΗ854880</t>
  </si>
  <si>
    <t>ΜΕΝΤΕΜΕΤΖΟΓΛΟΥ</t>
  </si>
  <si>
    <t>ΑΚ918394</t>
  </si>
  <si>
    <t>ΡΑΛΛΗ</t>
  </si>
  <si>
    <t>ΑΒ536316</t>
  </si>
  <si>
    <t>ΑΖ932829</t>
  </si>
  <si>
    <t>ΠΑΛΙΟΓΙΑΝΝΗ</t>
  </si>
  <si>
    <t>ΛΙΑ</t>
  </si>
  <si>
    <t>ΑΗ085893</t>
  </si>
  <si>
    <t>ΖΩΝΙΟΥ</t>
  </si>
  <si>
    <t>ΑΟ557671</t>
  </si>
  <si>
    <t>ΜΙΧΕΛΑΚΗ</t>
  </si>
  <si>
    <t>ΑΖ456433</t>
  </si>
  <si>
    <t>Σ385019</t>
  </si>
  <si>
    <t>ΑΝ606196</t>
  </si>
  <si>
    <t>Χ356295</t>
  </si>
  <si>
    <t>ΨΑΡΑΔΕΛΛΗ</t>
  </si>
  <si>
    <t>ΑΜ936795</t>
  </si>
  <si>
    <t>ΤΟΥΣΚΟΥ</t>
  </si>
  <si>
    <t>ΑΒ123309</t>
  </si>
  <si>
    <t>ΤΣΙΑΚΛΑΓΚΑΝΟΥ</t>
  </si>
  <si>
    <t>ΑΙ837460</t>
  </si>
  <si>
    <t>ΔΡΑΚΟΥΛΗ</t>
  </si>
  <si>
    <t>ΑΜ159332</t>
  </si>
  <si>
    <t>ΣΩΤΗΡΙΑΔΗΣ</t>
  </si>
  <si>
    <t>ΑΙ897389</t>
  </si>
  <si>
    <t>ΒΕΡΕΣΣΕ</t>
  </si>
  <si>
    <t>ΑΜ337918</t>
  </si>
  <si>
    <t>ΠΙΣΧΙΤΖΗ</t>
  </si>
  <si>
    <t>ΑΟ221352</t>
  </si>
  <si>
    <t>ΑΗ024044</t>
  </si>
  <si>
    <t>ΣΟΥΜΕΛΙΔΟΥ</t>
  </si>
  <si>
    <t>Χ949121</t>
  </si>
  <si>
    <t>ΑΙ195098</t>
  </si>
  <si>
    <t>ΜΑΝΟΥΣΟΓΙΑΝΝΗ</t>
  </si>
  <si>
    <t>ΑΑ490847</t>
  </si>
  <si>
    <t>ΓΕΩΡΓΙΟΠΟΥΛΟΥ</t>
  </si>
  <si>
    <t>Τ266076</t>
  </si>
  <si>
    <t>ΚΑΡΑΓΑΛΗ</t>
  </si>
  <si>
    <t>ΑΚ886075</t>
  </si>
  <si>
    <t>ΑΟ060323</t>
  </si>
  <si>
    <t>ΚΑΛΙΑΤΣΑ</t>
  </si>
  <si>
    <t>ΑΖ914601</t>
  </si>
  <si>
    <t>ΑΕ792377</t>
  </si>
  <si>
    <t>ΠΕΤΣΗ</t>
  </si>
  <si>
    <t>Χ360665</t>
  </si>
  <si>
    <t>ΜΑΤΖΟΥ</t>
  </si>
  <si>
    <t>ΑΗ303196</t>
  </si>
  <si>
    <t>ΑΖ082309</t>
  </si>
  <si>
    <t>ΜΠΛΙΝΤΖΙΟΥ</t>
  </si>
  <si>
    <t>ΓΡΗΓΟΡΗΣ</t>
  </si>
  <si>
    <t>Χ912870</t>
  </si>
  <si>
    <t>ΑΝ751541</t>
  </si>
  <si>
    <t>ΜΑΝΤΣΟΥ</t>
  </si>
  <si>
    <t>Σ900148</t>
  </si>
  <si>
    <t>ΧΡΙΣΤΟΥΛΑΚΗ</t>
  </si>
  <si>
    <t>ΑΖ973134</t>
  </si>
  <si>
    <t>Χ976967</t>
  </si>
  <si>
    <t>ΒΕΗ</t>
  </si>
  <si>
    <t>ΑΜ239844</t>
  </si>
  <si>
    <t xml:space="preserve">ΕΛΕΝΑ </t>
  </si>
  <si>
    <t>ΑΕ963839</t>
  </si>
  <si>
    <t>ΑΚ289424</t>
  </si>
  <si>
    <t>ΝΤΑΛΑΜΑΡΑ</t>
  </si>
  <si>
    <t>ΑΒ762791</t>
  </si>
  <si>
    <t>ΑΟ839704</t>
  </si>
  <si>
    <t>ΚΑΙΑΦΑ</t>
  </si>
  <si>
    <t>ΑΜ042495</t>
  </si>
  <si>
    <t>ΒΟΥΛΓΑΡΑΚΗ</t>
  </si>
  <si>
    <t>ΑΙ291404</t>
  </si>
  <si>
    <t>ΛΕΒΑΣΟΠΟΥΛΟΥ</t>
  </si>
  <si>
    <t>ΑΗ015341</t>
  </si>
  <si>
    <t>ΤΑΜΠΑ</t>
  </si>
  <si>
    <t>ΑΟ961646</t>
  </si>
  <si>
    <t>ΤΣΑΠΑΝΙΔΟΥ</t>
  </si>
  <si>
    <t>ΑΑ405621</t>
  </si>
  <si>
    <t>ΣΓΑΝΤΖΟΥ</t>
  </si>
  <si>
    <t>ΑΜ337587</t>
  </si>
  <si>
    <t>ΛΕΜΠΕΣΗ</t>
  </si>
  <si>
    <t>ΑΖ231666</t>
  </si>
  <si>
    <t>ΝΤΟΥΜΑΚΗ</t>
  </si>
  <si>
    <t>ΑΚ532138</t>
  </si>
  <si>
    <t>ΞΟΥΛΕΗ</t>
  </si>
  <si>
    <t>ΒΙΚΤΩΡΙΑ ΝΙΚΟΛΕΤΤΑ</t>
  </si>
  <si>
    <t>ΑΖ508378</t>
  </si>
  <si>
    <t>ΒΕΛΛΗΣ</t>
  </si>
  <si>
    <t>ΑΖ795865</t>
  </si>
  <si>
    <t>ΧΑΡΑΚΟΠΗ</t>
  </si>
  <si>
    <t>ΑΒ932942</t>
  </si>
  <si>
    <t>ΑΡΙΣΤΕΙΔΟΥ</t>
  </si>
  <si>
    <t>ΑΑ923340</t>
  </si>
  <si>
    <t>ΝΙΣΤΑ</t>
  </si>
  <si>
    <t>ΑΗ739684</t>
  </si>
  <si>
    <t>ΣΕΡΓΕΝΤΑΚΗ</t>
  </si>
  <si>
    <t>Ν961864</t>
  </si>
  <si>
    <t>ΓΡΟΥΣΔΙΔΟΥ</t>
  </si>
  <si>
    <t>Τ206290</t>
  </si>
  <si>
    <t>ΣΤΡΑΤΗΓΟΥ</t>
  </si>
  <si>
    <t>ΑΒ757531</t>
  </si>
  <si>
    <t>ΠΑΠΑΚΩΣΤΑ</t>
  </si>
  <si>
    <t>Φ146353</t>
  </si>
  <si>
    <t>ΚΟΝΕ</t>
  </si>
  <si>
    <t>ΑΖ566919</t>
  </si>
  <si>
    <t>ΝΕΚΤΑΡΙΑ ΒΑΣΙΛΙΚΗ</t>
  </si>
  <si>
    <t>ΑΕ092002</t>
  </si>
  <si>
    <t>ΙΜΒΡΟΓΛΟΥ</t>
  </si>
  <si>
    <t>ΑΙ197428</t>
  </si>
  <si>
    <t>ΔΗΜΙΤΣΑ</t>
  </si>
  <si>
    <t>ΑΝΝΑ ΕΥΣΕΒΕΙΑ</t>
  </si>
  <si>
    <t>ΑΜ824056</t>
  </si>
  <si>
    <t>ΤΑΣΟΥΛΗ</t>
  </si>
  <si>
    <t>Χ172891</t>
  </si>
  <si>
    <t>ΑΥΓΕΡΙΝΟΥΔΗ</t>
  </si>
  <si>
    <t>ΔΗΜΗΤΡΑ ΜΑΡΙΑ</t>
  </si>
  <si>
    <t>Χ593348</t>
  </si>
  <si>
    <t>Σ421686</t>
  </si>
  <si>
    <t>ΓΚΑΤΖΟΥΛΗ</t>
  </si>
  <si>
    <t>Χ911505</t>
  </si>
  <si>
    <t>ΓΕΡΟΓΙΩΡΓΗ</t>
  </si>
  <si>
    <t>ΑΗ482769</t>
  </si>
  <si>
    <t>ΑΓΓΟΥΡΑΚΗ</t>
  </si>
  <si>
    <t>ΑΜ035809</t>
  </si>
  <si>
    <t>ΣΩΤΗΡΙΑΔΟΥ</t>
  </si>
  <si>
    <t>ΑΜ290344</t>
  </si>
  <si>
    <t>ΑΡΣΕΝΙΟΥ</t>
  </si>
  <si>
    <t>ΑΗ798276</t>
  </si>
  <si>
    <t>ΜΑΥΡΟΜΜΑΤΗ</t>
  </si>
  <si>
    <t>ΑΙ542728</t>
  </si>
  <si>
    <t>ΑΟ423084</t>
  </si>
  <si>
    <t>ΙΩΣΗΦΙΔΟΥ</t>
  </si>
  <si>
    <t>ΑΖ787900</t>
  </si>
  <si>
    <t>ΝΙΑΝΙΟΥ</t>
  </si>
  <si>
    <t>ΑΟ157724</t>
  </si>
  <si>
    <t>ΚΑΡΑΙ</t>
  </si>
  <si>
    <t>ΒΙΣΟΛΝΤΑ</t>
  </si>
  <si>
    <t>ΚΡΙΣΤΟ</t>
  </si>
  <si>
    <t>ΑΟ206714</t>
  </si>
  <si>
    <t>ΜΠΛΑΝΤΖΟΥΚΑ</t>
  </si>
  <si>
    <t>ΑΗ200600</t>
  </si>
  <si>
    <t>ΜΑΝΔΑΛΟΥ ΤΑΤΣΗ</t>
  </si>
  <si>
    <t>Τ284886</t>
  </si>
  <si>
    <t>ΑΛΥΣΑΝΔΡΑΤΟΥ</t>
  </si>
  <si>
    <t>Φ272638</t>
  </si>
  <si>
    <t>ΑΝ226484</t>
  </si>
  <si>
    <t>ΡΑΦΑΗΛΙΑ ΡΑΧΗΛ</t>
  </si>
  <si>
    <t>ΑΗ348298</t>
  </si>
  <si>
    <t>ΕΖΑΝΙΔΟΥ ΚΟΣΜΟΓΛΟΥ</t>
  </si>
  <si>
    <t>ΑΖ662764</t>
  </si>
  <si>
    <t>ΠΑΠΑΗΛΙΑ</t>
  </si>
  <si>
    <t>ΑΙ127764</t>
  </si>
  <si>
    <t xml:space="preserve">ΝΤΗΒΑΡΤΖΗ </t>
  </si>
  <si>
    <t xml:space="preserve">ΕΥΑΓΓΕΛΟΣ </t>
  </si>
  <si>
    <t>ΑΒ057528</t>
  </si>
  <si>
    <t>ΤΣΟΥΛΚΑ</t>
  </si>
  <si>
    <t>Χ982571</t>
  </si>
  <si>
    <t>Σ784428</t>
  </si>
  <si>
    <t>ΖΑΓΓΑΝΑ</t>
  </si>
  <si>
    <t>ΑΑ308541</t>
  </si>
  <si>
    <t>ΑΝΤΩΝΙΤΣΑ</t>
  </si>
  <si>
    <t>ΑΠΟΣΤΟΛΟΣ ΘΕΟΔΩΡΟΣ</t>
  </si>
  <si>
    <t>ΑΚ420919</t>
  </si>
  <si>
    <t>Φ382008</t>
  </si>
  <si>
    <t>Χ301931</t>
  </si>
  <si>
    <t>ΑΕ853775</t>
  </si>
  <si>
    <t xml:space="preserve">ΚΑΠΝΙΑΖΗ </t>
  </si>
  <si>
    <t>ΑΝ174977</t>
  </si>
  <si>
    <t>ΚΑΤΡΙΒΕΣΗ</t>
  </si>
  <si>
    <t>ΑΕ225806</t>
  </si>
  <si>
    <t>ΑΟ406550</t>
  </si>
  <si>
    <t>ΜΠΛΙΑΤΣΙΔΟΥ</t>
  </si>
  <si>
    <t>ΑΑ450024</t>
  </si>
  <si>
    <t>ΒΟΚΟΛΙΔΟΥ</t>
  </si>
  <si>
    <t>ΑΗ354057</t>
  </si>
  <si>
    <t xml:space="preserve">ΖΑΧΑΡΙΑ </t>
  </si>
  <si>
    <t>ΑΘΗΝΑ ΒΑΣΙΛΙΚΗ</t>
  </si>
  <si>
    <t>ΑΙ735361</t>
  </si>
  <si>
    <t>ΒΕΝΕΤΗ</t>
  </si>
  <si>
    <t>ΑΕ772176</t>
  </si>
  <si>
    <t>ΑΜ580464</t>
  </si>
  <si>
    <t>ΔΗΜΑΚΟΥ</t>
  </si>
  <si>
    <t>Π929958</t>
  </si>
  <si>
    <t>ΚΑΡΒΕΛΗ</t>
  </si>
  <si>
    <t>ΑΕ457779</t>
  </si>
  <si>
    <t>Σ355084</t>
  </si>
  <si>
    <t>ΒΑΛΤΣΑΝΗ</t>
  </si>
  <si>
    <t>ΑΖ886852</t>
  </si>
  <si>
    <t>ΑΖ649065</t>
  </si>
  <si>
    <t>ΑΗ623938</t>
  </si>
  <si>
    <t>ΛΙΟΚΟΥΡΑ</t>
  </si>
  <si>
    <t>ΑΝ080447</t>
  </si>
  <si>
    <t>ΣΟΥΛΑΙ</t>
  </si>
  <si>
    <t>ΕΓΚΛΙ</t>
  </si>
  <si>
    <t>ΙΛΙΡ</t>
  </si>
  <si>
    <t>ΑΜ967456</t>
  </si>
  <si>
    <t>ΔΑΚΟΛΑ</t>
  </si>
  <si>
    <t>ΑΜ307170</t>
  </si>
  <si>
    <t>ΑΝΔΡΑΛΗ</t>
  </si>
  <si>
    <t xml:space="preserve">ΚΥΡΙΑΚΗ </t>
  </si>
  <si>
    <t>ΑΚ423425</t>
  </si>
  <si>
    <t>ΓΙΑΝΝΟΥΚΑΚΗ</t>
  </si>
  <si>
    <t>ΑΚ789940</t>
  </si>
  <si>
    <t>ΠΟΥΛΑΣΙΚΙΔΟΥ</t>
  </si>
  <si>
    <t>ΑΑ869840</t>
  </si>
  <si>
    <t>ΑΙ224863</t>
  </si>
  <si>
    <t>ΡΟΔΙΤΑΚΗ</t>
  </si>
  <si>
    <t>ΑΝ940771</t>
  </si>
  <si>
    <t>ΧΑΝΤΖΗ</t>
  </si>
  <si>
    <t>ΑΚ394728</t>
  </si>
  <si>
    <t>ΚΟΥΜΠΟΥΛΑ</t>
  </si>
  <si>
    <t>ΒΑΣΙΑΝΑ</t>
  </si>
  <si>
    <t>ΓΙΟΡΔΑΝ</t>
  </si>
  <si>
    <t>ΑΚ690990</t>
  </si>
  <si>
    <t>ΖΟΦΟΡΙΑΝΑΚΗ</t>
  </si>
  <si>
    <t>ΑΝ457156</t>
  </si>
  <si>
    <t>ΣΑΡΙΔΟΥ</t>
  </si>
  <si>
    <t>ΕΛΛΑΔΑ</t>
  </si>
  <si>
    <t>ΓΕΝΝΑΔΙΟΣ</t>
  </si>
  <si>
    <t>ΑΕ217193</t>
  </si>
  <si>
    <t>ΑΜ486718</t>
  </si>
  <si>
    <t>ΑΙ977324</t>
  </si>
  <si>
    <t>ΣΤΑΜΚΟΠΟΥΛΟΥ</t>
  </si>
  <si>
    <t>ΑΙ325233</t>
  </si>
  <si>
    <t>ΜΑΚΡΑ</t>
  </si>
  <si>
    <t>ΑΑ384363</t>
  </si>
  <si>
    <t>ΜΑΡΚΟΥΔΗ</t>
  </si>
  <si>
    <t>ΑΗ413163</t>
  </si>
  <si>
    <t>Χ484615</t>
  </si>
  <si>
    <t>ΑΙ386963</t>
  </si>
  <si>
    <t>ΑΝΑΡΓΥΡΟΣ</t>
  </si>
  <si>
    <t>ΑΜ485404</t>
  </si>
  <si>
    <t>ΣΤΑΜΠΟΥΛΤΖΗ</t>
  </si>
  <si>
    <t>ΦΡΑΝΣΙΣ</t>
  </si>
  <si>
    <t>ΑΕ564265</t>
  </si>
  <si>
    <t>ΒΑΜΒΟΥΚΑΚΗ</t>
  </si>
  <si>
    <t>ΑΕ962732</t>
  </si>
  <si>
    <t>ΤΣΕΡΒΟΥΛΗ</t>
  </si>
  <si>
    <t>ΑΗ196511</t>
  </si>
  <si>
    <t>ΑΣΚΙΑΝΑΚΗ</t>
  </si>
  <si>
    <t>ΑΝ927341</t>
  </si>
  <si>
    <t>ΑΖ476888</t>
  </si>
  <si>
    <t>ΣΕΒΑΣΤΟΥ</t>
  </si>
  <si>
    <t>ΑΓΓΕΛΙΚΗ ΕΙΡΗΝΗ</t>
  </si>
  <si>
    <t>Χ164267</t>
  </si>
  <si>
    <t>ΧΙΩΤΗ</t>
  </si>
  <si>
    <t>ΚΩΝΣΤΑΝΙΝΑ</t>
  </si>
  <si>
    <t>ΑΙ460738</t>
  </si>
  <si>
    <t>ΑΚ696289</t>
  </si>
  <si>
    <t>ΑΟ198834</t>
  </si>
  <si>
    <t>ΤΣΟΥΛΟΥ</t>
  </si>
  <si>
    <t>ΥΠΕΡΜΑΧΩ</t>
  </si>
  <si>
    <t>Χ325081</t>
  </si>
  <si>
    <t>ΦΡΑΓΚΑΤΖΗ</t>
  </si>
  <si>
    <t>ΔΕΣΠΟΙΝΑ ΕΥΛΑΜΠΙΑ</t>
  </si>
  <si>
    <t>Χ968215</t>
  </si>
  <si>
    <t>ΑΜ069187</t>
  </si>
  <si>
    <t>ΓΑΤΣΙΝΟΥ</t>
  </si>
  <si>
    <t>Ρ558967</t>
  </si>
  <si>
    <t>ΑΠΕΝΤΑΡΟΥ</t>
  </si>
  <si>
    <t>ΑΜ853199</t>
  </si>
  <si>
    <t>ΚΑΝΤΗΛΑ</t>
  </si>
  <si>
    <t>ΑΗ475594</t>
  </si>
  <si>
    <t>ΣΚΑΡΚΑΛΑ</t>
  </si>
  <si>
    <t>ΑΙ350784</t>
  </si>
  <si>
    <t>ΚΑΨΟΚΑΒΑΔΗ</t>
  </si>
  <si>
    <t>ΑΜ598304</t>
  </si>
  <si>
    <t>ΑΝΔΡΩΝΗ</t>
  </si>
  <si>
    <t>ΑΜ580277</t>
  </si>
  <si>
    <t>ΣΚΕΤΑ</t>
  </si>
  <si>
    <t>ΑΗ291963</t>
  </si>
  <si>
    <t>ΑΟ156921</t>
  </si>
  <si>
    <t>ΝΤΟΥΜΑΝΗ</t>
  </si>
  <si>
    <t>ΑΙ199740</t>
  </si>
  <si>
    <t>ΚΑΡΟΥΤΣΟΥ</t>
  </si>
  <si>
    <t>ΑΗ638267</t>
  </si>
  <si>
    <t>ΜΑΡΙΑ ΚΩΝΣΤΑΝΤΙΝΑ</t>
  </si>
  <si>
    <t>ΑΙ233963</t>
  </si>
  <si>
    <t>ΑΟ331939</t>
  </si>
  <si>
    <t>ΒΕΡΒΕΡΗ</t>
  </si>
  <si>
    <t>ΑΜ279697</t>
  </si>
  <si>
    <t>ΑΖ667247</t>
  </si>
  <si>
    <t>Ρ595750</t>
  </si>
  <si>
    <t>ΑΗ623331</t>
  </si>
  <si>
    <t>ΠΑΠΑΛΕΞΟΠΟΥΛΟΥ</t>
  </si>
  <si>
    <t>ΑΙ848870</t>
  </si>
  <si>
    <t>ΧΑΤΖΗΝΑ</t>
  </si>
  <si>
    <t>ΑΖ493579</t>
  </si>
  <si>
    <t>ΓΚΑΖΗ</t>
  </si>
  <si>
    <t>ΑΙ326405</t>
  </si>
  <si>
    <t>Σ103622</t>
  </si>
  <si>
    <t>ΚΑΛΛΙΒΡΕΤΑΚΗ</t>
  </si>
  <si>
    <t>ΑΒ974852</t>
  </si>
  <si>
    <t>ΤΣΟΥΜΠΕΡΛΗ</t>
  </si>
  <si>
    <t>Χ964739</t>
  </si>
  <si>
    <t>ΜΠΑΛΑΜΠΑΝΗ</t>
  </si>
  <si>
    <t>ΒΑΣΙΛΙΚΗ ΙΩΑΝΝΑ</t>
  </si>
  <si>
    <t>Χ329296</t>
  </si>
  <si>
    <t>Χ796944</t>
  </si>
  <si>
    <t>ΘΕΟΛΟΓΑΚΗ</t>
  </si>
  <si>
    <t>ΑΜ728221</t>
  </si>
  <si>
    <t>ΑΝ910189</t>
  </si>
  <si>
    <t>ΣΠΑΝΙΔΟΥ</t>
  </si>
  <si>
    <t>ΑΖ805256</t>
  </si>
  <si>
    <t>Σ175691</t>
  </si>
  <si>
    <t>ΜΠΟΛΙΑ</t>
  </si>
  <si>
    <t>Ρ506293</t>
  </si>
  <si>
    <t>ΡΟΜΠΟΛΑ</t>
  </si>
  <si>
    <t>ΑΜ301582</t>
  </si>
  <si>
    <t>ΜΙΧΑΛΕ</t>
  </si>
  <si>
    <t>ΑΚ970427</t>
  </si>
  <si>
    <t>ΑΖ707956</t>
  </si>
  <si>
    <t>ΚΑΤΣΑΡΟΥ</t>
  </si>
  <si>
    <t>ΑΕ476752</t>
  </si>
  <si>
    <t>ΑΙ292979</t>
  </si>
  <si>
    <t>ΑΣΛΑΝΙΔΟΥ</t>
  </si>
  <si>
    <t>ΑΒ729072</t>
  </si>
  <si>
    <t>Χ862212</t>
  </si>
  <si>
    <t>ΑΙ983997</t>
  </si>
  <si>
    <t>ΝΙΚΟΠΟΥΛΟΥ</t>
  </si>
  <si>
    <t>ΑΟ227055</t>
  </si>
  <si>
    <t>ΤΖΕΚΗ</t>
  </si>
  <si>
    <t>ΛΕΥΚΟΘΕΑ</t>
  </si>
  <si>
    <t>ΑΗ682683</t>
  </si>
  <si>
    <t>ΤΑΠΚΟΥ</t>
  </si>
  <si>
    <t>ΤΡΑΙΑΝΗ</t>
  </si>
  <si>
    <t>Χ448708</t>
  </si>
  <si>
    <t>ΤΟΥΦΕΞΗ</t>
  </si>
  <si>
    <t>ΒΑΛΣΑΜΩ</t>
  </si>
  <si>
    <t>ΑΗ869861</t>
  </si>
  <si>
    <t>ΑΙ755358</t>
  </si>
  <si>
    <t>ΑΗ631971</t>
  </si>
  <si>
    <t>ΑΙ622536</t>
  </si>
  <si>
    <t>ΚΡΟΜΠΑ</t>
  </si>
  <si>
    <t>ΜΑΡΙΑ ΗΛΙΑΝΑ</t>
  </si>
  <si>
    <t>ΑΚ955149</t>
  </si>
  <si>
    <t>ΒΙΔΑΛΗ</t>
  </si>
  <si>
    <t>ΑΖ442665</t>
  </si>
  <si>
    <t>ΜΠΟΥΜΠΑ</t>
  </si>
  <si>
    <t>ΑΕ299033</t>
  </si>
  <si>
    <t>ΑΖ330003</t>
  </si>
  <si>
    <t>ΑΒ197785</t>
  </si>
  <si>
    <t>ΚΛΑΓΚΟΥ</t>
  </si>
  <si>
    <t>ΑΝ295722</t>
  </si>
  <si>
    <t>ΔΑΓΚΑ</t>
  </si>
  <si>
    <t>ΑΙ898854</t>
  </si>
  <si>
    <t>ΚΟΥΤΣΙΚΟΥΛΗ</t>
  </si>
  <si>
    <t>ΑΚ410709</t>
  </si>
  <si>
    <t>ΑΒ635680</t>
  </si>
  <si>
    <t>ΑΒ859612</t>
  </si>
  <si>
    <t>ΑΚ370728</t>
  </si>
  <si>
    <t>ΚΑΛΟΓΗΡΟΥ ΛΟΥΜΙΤΗ</t>
  </si>
  <si>
    <t>ΜΕΛΙΣΣΑΝΔΡΑ</t>
  </si>
  <si>
    <t>ΑΙ539415</t>
  </si>
  <si>
    <t>ΚΕΛΑΡΑΚΗ</t>
  </si>
  <si>
    <t>ΑΙ440643</t>
  </si>
  <si>
    <t>ΑΕ764388</t>
  </si>
  <si>
    <t>ΠΑΠΑΡΓΥΡΗΣ</t>
  </si>
  <si>
    <t>ΑΚ825647</t>
  </si>
  <si>
    <t>ΓΚΙΡΙΤΛΗ</t>
  </si>
  <si>
    <t>ΤΖΑΝΑΝ</t>
  </si>
  <si>
    <t>ΙΛΜΗ</t>
  </si>
  <si>
    <t>ΑΖ441567</t>
  </si>
  <si>
    <t>ΣΜΠΟΥΚΗ</t>
  </si>
  <si>
    <t>Χ555131</t>
  </si>
  <si>
    <t>ΣΕΛΗΝΙΩΤΑΚΗ</t>
  </si>
  <si>
    <t>ΑΒ961848</t>
  </si>
  <si>
    <t>ΚΟΥΡΚΟΥΛΟΣ</t>
  </si>
  <si>
    <t>ΑΙ274483</t>
  </si>
  <si>
    <t>ΠΑΝΑΓΙΩΤΟΥΛΗ</t>
  </si>
  <si>
    <t>ΑΜ578553</t>
  </si>
  <si>
    <t>ΠΑΠΑΔΟΠΟΥΛΟΥ ΛΑΤΣΗ</t>
  </si>
  <si>
    <t>ΔΗΜΗΤΡΑ ΦΩΤΕΙΝΗ</t>
  </si>
  <si>
    <t>ΑΜ742759</t>
  </si>
  <si>
    <t>ΑΙ637182</t>
  </si>
  <si>
    <t>ΠΑΝΤΕΛΙΑΔΟΥ</t>
  </si>
  <si>
    <t>ΑΗ815950</t>
  </si>
  <si>
    <t>ΚΩNΣΤΑΝΤΙΑ</t>
  </si>
  <si>
    <t>ΑΖ309473</t>
  </si>
  <si>
    <t>ΑΙ325882</t>
  </si>
  <si>
    <t>ΜΕΡΓΟΥ</t>
  </si>
  <si>
    <t>ΝΙΚΟΛΑΙΑ</t>
  </si>
  <si>
    <t>Ρ810234</t>
  </si>
  <si>
    <t>ΚΑΤΑΝΑ</t>
  </si>
  <si>
    <t>Ρ876900</t>
  </si>
  <si>
    <t xml:space="preserve">ΣΙΑΝΑΒΑ </t>
  </si>
  <si>
    <t xml:space="preserve">ΒΑΣΙΛΙΚΗ </t>
  </si>
  <si>
    <t>ΑΑ063379</t>
  </si>
  <si>
    <t>Τ276848</t>
  </si>
  <si>
    <t>Χ392193</t>
  </si>
  <si>
    <t>ΑΕ651779</t>
  </si>
  <si>
    <t>ΜΑΧΙΑ</t>
  </si>
  <si>
    <t>ΑΝ322252</t>
  </si>
  <si>
    <t>ΚΑΖΑΝΤΖΙΔΟΥ</t>
  </si>
  <si>
    <t>ΑΕ395923</t>
  </si>
  <si>
    <t>ΗΛΙΑΝΝΑ</t>
  </si>
  <si>
    <t>ΑΝ856404</t>
  </si>
  <si>
    <t>ΧΑΛΟΥΛΑ</t>
  </si>
  <si>
    <t>ΑΖ340718</t>
  </si>
  <si>
    <t>ΑΗ770693</t>
  </si>
  <si>
    <t>ΠΕΙΔΟΥ</t>
  </si>
  <si>
    <t>ΑΕ196663</t>
  </si>
  <si>
    <t>ΤΣΟΜΠΑΝΗΣ</t>
  </si>
  <si>
    <t>ΑΒ917390</t>
  </si>
  <si>
    <t>ΑΙ722843</t>
  </si>
  <si>
    <t>ΣΙΑΦΗ</t>
  </si>
  <si>
    <t>ΑΝ988086</t>
  </si>
  <si>
    <t>ΚΑΡΑΔΑΓΛΗ</t>
  </si>
  <si>
    <t>ΑΝ213023</t>
  </si>
  <si>
    <t>ΠΑΤΙΝΙΩΤΗ</t>
  </si>
  <si>
    <t>Σ705803</t>
  </si>
  <si>
    <t>Χ966293</t>
  </si>
  <si>
    <t>Χ484751</t>
  </si>
  <si>
    <t>ΒΛΑΧΑΚΗ</t>
  </si>
  <si>
    <t>ΑΚ235714</t>
  </si>
  <si>
    <t>ΓΡΙΛΛΟΥ</t>
  </si>
  <si>
    <t>ΑΚ018004</t>
  </si>
  <si>
    <t>ΤΡΑΚΟΥ</t>
  </si>
  <si>
    <t>ΑΖ604532</t>
  </si>
  <si>
    <t>ΔΙΑΜΑΝΤΟΠΟΥΛΟΥ</t>
  </si>
  <si>
    <t>ΧΡΙΣΤΟΣ</t>
  </si>
  <si>
    <t>ΑΙ753861</t>
  </si>
  <si>
    <t>ΑΖ548311</t>
  </si>
  <si>
    <t>ΚΟΥΣΤΑ</t>
  </si>
  <si>
    <t>Χ884293</t>
  </si>
  <si>
    <t>ΟΥΣΤΑΜΠΑΣΙΔΟΥ</t>
  </si>
  <si>
    <t>ΑΜ433325</t>
  </si>
  <si>
    <t>ΚΗΠΟΥΡΟΥ</t>
  </si>
  <si>
    <t>ΑΡ270916</t>
  </si>
  <si>
    <t>ΜΗΛΙΩΤΗ</t>
  </si>
  <si>
    <t xml:space="preserve">ΕΥΘΎΜΙΟΣ </t>
  </si>
  <si>
    <t>Τ032733</t>
  </si>
  <si>
    <t>Σ719185</t>
  </si>
  <si>
    <t>ΑΜ298030</t>
  </si>
  <si>
    <t>ΑΕ688083</t>
  </si>
  <si>
    <t>ΑΙ840825</t>
  </si>
  <si>
    <t>ΑΚ593785</t>
  </si>
  <si>
    <t>AΓΓΕΛΙΚΗ</t>
  </si>
  <si>
    <t>Χ800245</t>
  </si>
  <si>
    <t>ΣΟΥΡΒΑΝΟΥ</t>
  </si>
  <si>
    <t>ΧΡΥΣΟΥΛΑ ΑΘΗΝΑ</t>
  </si>
  <si>
    <t>Χ879242</t>
  </si>
  <si>
    <t>Χ894589</t>
  </si>
  <si>
    <t>ΑΖ255158</t>
  </si>
  <si>
    <t>ΚΟΥΚΟΥΜΠΛΙΑΚΟΥ</t>
  </si>
  <si>
    <t>ΑΒ834149</t>
  </si>
  <si>
    <t>ΔΑΥΙΔΟΥ</t>
  </si>
  <si>
    <t>ΑΜ916625</t>
  </si>
  <si>
    <t>ΦΥΡΟΓΕΝΗ</t>
  </si>
  <si>
    <t>ΑΙ438423</t>
  </si>
  <si>
    <t>ΑΒ882649</t>
  </si>
  <si>
    <t>ΚΟΤΙΤΣΑ</t>
  </si>
  <si>
    <t>ΑΕ338548</t>
  </si>
  <si>
    <t>ΑΑ431466</t>
  </si>
  <si>
    <t xml:space="preserve">ΣΤΑΜΑΤΙΑ </t>
  </si>
  <si>
    <t>ΑΙ905494</t>
  </si>
  <si>
    <t>ΑΖ171146</t>
  </si>
  <si>
    <t>ΛΑΛΛΑ</t>
  </si>
  <si>
    <t>ΑΙ649507</t>
  </si>
  <si>
    <t>ΑΟ328689</t>
  </si>
  <si>
    <t>ΜΠΑΚΑΛΗΣ</t>
  </si>
  <si>
    <t>ΑΟ216739</t>
  </si>
  <si>
    <t>ΜΠΕΤΕΝΙΟΥ</t>
  </si>
  <si>
    <t>ΑΒ491087</t>
  </si>
  <si>
    <t>Χ367603</t>
  </si>
  <si>
    <t>ΚΑΚΑΒΑ</t>
  </si>
  <si>
    <t>ΑΙ228907</t>
  </si>
  <si>
    <t>ΜΠΕΛΙΤΣΟΥ</t>
  </si>
  <si>
    <t>ΑΙ487684</t>
  </si>
  <si>
    <t>ΚΕΡΑΜΑΡΗ</t>
  </si>
  <si>
    <t>ΔΑΝΙΗΛ</t>
  </si>
  <si>
    <t>ΑΗ405460</t>
  </si>
  <si>
    <t>ΚΩΣΤΟΓΛΟΥ</t>
  </si>
  <si>
    <t>Σ419964</t>
  </si>
  <si>
    <t>ΑΖ203782</t>
  </si>
  <si>
    <t>ΑΚ728367</t>
  </si>
  <si>
    <t>ΚΑΡΤΑΤΣΟΠΟΥΛΟΥ</t>
  </si>
  <si>
    <t>ΑΕ556340</t>
  </si>
  <si>
    <t>ΠΑΠΑΔΗΜΑ</t>
  </si>
  <si>
    <t>ΑΟ088062</t>
  </si>
  <si>
    <t>Χ742924</t>
  </si>
  <si>
    <t>ΚΟΥΤΟΥΛΑ</t>
  </si>
  <si>
    <t>Χ912882</t>
  </si>
  <si>
    <t>ΑΖ039947</t>
  </si>
  <si>
    <t>ΑΑ402290</t>
  </si>
  <si>
    <t>ΔΗΜΗΤΡΙΑΔΗΣ</t>
  </si>
  <si>
    <t>Φ308259</t>
  </si>
  <si>
    <t>ΘΕΟΔΩΡΗ</t>
  </si>
  <si>
    <t>ΑΖ429729</t>
  </si>
  <si>
    <t>ΠΑΥΛΗ</t>
  </si>
  <si>
    <t>Τ437676</t>
  </si>
  <si>
    <t>ΤΣΟΠΑΝΙΔΟΥ</t>
  </si>
  <si>
    <t>Χ947663</t>
  </si>
  <si>
    <t>ΜΕΣΛΕΧ</t>
  </si>
  <si>
    <t>ΑΛΥΑ</t>
  </si>
  <si>
    <t>ΜΩΧΑΜΕΤ</t>
  </si>
  <si>
    <t>Σ513811</t>
  </si>
  <si>
    <t>ΜΕΤΑΞΑ</t>
  </si>
  <si>
    <t>Χ186063</t>
  </si>
  <si>
    <t>Τ480576</t>
  </si>
  <si>
    <t>Χ488202</t>
  </si>
  <si>
    <t>ΑΝ152522</t>
  </si>
  <si>
    <t>ΚΑΡΑΒΑΡΗ</t>
  </si>
  <si>
    <t>Ρ971918</t>
  </si>
  <si>
    <t>ΛΙΛΟΥ</t>
  </si>
  <si>
    <t>Τ811134</t>
  </si>
  <si>
    <t>ΤΣΟΥΚΑΝΤΑΝΑ</t>
  </si>
  <si>
    <t>Χ406868</t>
  </si>
  <si>
    <t>ΖΑΜΠΕΤΗ</t>
  </si>
  <si>
    <t>ΑΖ213670</t>
  </si>
  <si>
    <t>ΑΝ945591</t>
  </si>
  <si>
    <t>ΑΛΕΞΑΝΔΡΟΥ</t>
  </si>
  <si>
    <t>ΑΜ224429</t>
  </si>
  <si>
    <t>ΜΠΑΚΑΓΙΑΝΝΗ</t>
  </si>
  <si>
    <t>ΑΒ620686</t>
  </si>
  <si>
    <t>ΜΠΟΥΝΤΟΥΡΟΥΔΗ</t>
  </si>
  <si>
    <t>ΑΖ479728</t>
  </si>
  <si>
    <t>ΣΤΑΥΡΟΥΛΑ ΑΡΤΕΜΙΣ</t>
  </si>
  <si>
    <t>ΑΑ391742</t>
  </si>
  <si>
    <t>ΠΑΡΑΣΚΕΥΗ ΜΑΡΙΑ</t>
  </si>
  <si>
    <t>ΑΒ086300</t>
  </si>
  <si>
    <t>ΠΑΝΟΥΤΣΟΥ</t>
  </si>
  <si>
    <t>ΓΡΑΜΜΑΤΙΚΗ</t>
  </si>
  <si>
    <t>ΑΗ044802</t>
  </si>
  <si>
    <t>ΛΥΔΙΑ</t>
  </si>
  <si>
    <t>ΑΖ991551</t>
  </si>
  <si>
    <t>ΜΑΝΩΛΕΣΚΟΥ</t>
  </si>
  <si>
    <t>ΜΑΡΙΑΝΝΑ ΧΡΥΣΟΒΑΛΑΝΤ</t>
  </si>
  <si>
    <t>ΦΙΛΗΜΩΝ</t>
  </si>
  <si>
    <t>ΑΖ454267</t>
  </si>
  <si>
    <t>ΑΟ229350</t>
  </si>
  <si>
    <t>ΑΓΡΑΝΙΤΗ</t>
  </si>
  <si>
    <t>ΑΙ042495</t>
  </si>
  <si>
    <t>ΑΗ314157</t>
  </si>
  <si>
    <t>ΓΚΟΓΚΑ</t>
  </si>
  <si>
    <t>ΑΗ769748</t>
  </si>
  <si>
    <t>ΤΣΟΥΜΑΓΚΑ</t>
  </si>
  <si>
    <t>ΑΕ835146</t>
  </si>
  <si>
    <t>Τ935134</t>
  </si>
  <si>
    <t>Χ611201</t>
  </si>
  <si>
    <t>ΣΑΠΑΛΙΔΟΥ</t>
  </si>
  <si>
    <t>ΑΜ850925</t>
  </si>
  <si>
    <t>ΔΑΡΑΜΟΥΣΚΑ</t>
  </si>
  <si>
    <t>ΑΝΤΩΝΗΣ</t>
  </si>
  <si>
    <t>ΑΒ617371</t>
  </si>
  <si>
    <t>ΧΑΣΙΩΤΟΥ</t>
  </si>
  <si>
    <t>Α0244220</t>
  </si>
  <si>
    <t>ΜΑΓΑΛΙΟΥ</t>
  </si>
  <si>
    <t>ΑΟ956781</t>
  </si>
  <si>
    <t>ΚΟΤΖΙΑΚΩΣΤΟΥΔΗ</t>
  </si>
  <si>
    <t xml:space="preserve">ΦΡΕΙΔΡΙΚΗ </t>
  </si>
  <si>
    <t>ΑΕ868628</t>
  </si>
  <si>
    <t>ΛΥΚΟΥ</t>
  </si>
  <si>
    <t>ΧΡΙΣΤΟΥΛΑ</t>
  </si>
  <si>
    <t>ΑΟ074067</t>
  </si>
  <si>
    <t>ΑΝ008413</t>
  </si>
  <si>
    <t>ΚΑΤΣΑΝΤΑ</t>
  </si>
  <si>
    <t>Χ961848</t>
  </si>
  <si>
    <t>ΤΣΑΛΑΧΟΥΡΗ</t>
  </si>
  <si>
    <t>ΑΝ415613</t>
  </si>
  <si>
    <t>ΑΙ727672</t>
  </si>
  <si>
    <t>ΚΑΠΕΤΑΝΙΔΟΥ</t>
  </si>
  <si>
    <t>Χ783276</t>
  </si>
  <si>
    <t>ΤΕΜΙΡΑΧΙΔΟΥ</t>
  </si>
  <si>
    <t>ΑΕ903720</t>
  </si>
  <si>
    <t>ΑΙ696874</t>
  </si>
  <si>
    <t>ΑΡΙΣΤΟΥΛΑ</t>
  </si>
  <si>
    <t>ΑΙ318974</t>
  </si>
  <si>
    <t>ΜΕΝΤΗ</t>
  </si>
  <si>
    <t>Τ501745</t>
  </si>
  <si>
    <t>ΠΛΕΥΡΗ</t>
  </si>
  <si>
    <t>ΑΝ430348</t>
  </si>
  <si>
    <t>ΑΕ369866</t>
  </si>
  <si>
    <t>ΓΙΑΖΙΤΖΗ</t>
  </si>
  <si>
    <t>ΑΕ160933</t>
  </si>
  <si>
    <t>ΚΑΚΟΔΕΙΠΝΑΚΗ</t>
  </si>
  <si>
    <t>ΑΕ963376</t>
  </si>
  <si>
    <t>ΑΝ817263</t>
  </si>
  <si>
    <t>ΛΙΑΧΟΠΟΥΛΟΥ</t>
  </si>
  <si>
    <t>ΜΑΡΙΑ ΑΝΤΩΝΙΑ</t>
  </si>
  <si>
    <t>ΑΙ336045</t>
  </si>
  <si>
    <t>Π116767</t>
  </si>
  <si>
    <t>ΠΑΠΑΡΓΥΡΗ</t>
  </si>
  <si>
    <t>ΑΒ196841</t>
  </si>
  <si>
    <t>ΣΠΥΡΟΠΟΥΛΟΥ ΣΑΚΚΑ</t>
  </si>
  <si>
    <t>Τ131910</t>
  </si>
  <si>
    <t>ΚΛΩΤΣΟΥ</t>
  </si>
  <si>
    <t>ΑΕ483320</t>
  </si>
  <si>
    <t>ΑΓΟΡΗ</t>
  </si>
  <si>
    <t>ΑΕ317629</t>
  </si>
  <si>
    <t>ΔΕΛΗΖΑΝΟΥ</t>
  </si>
  <si>
    <t>Χ253638</t>
  </si>
  <si>
    <t>ΚΟΥΣΟΥΝΗ</t>
  </si>
  <si>
    <t>ΘΕΟΔΩΡΑ ΞΑΝΘΙΠΠΗ</t>
  </si>
  <si>
    <t>Χ881388</t>
  </si>
  <si>
    <t>ΜΠΟΤΑΚΤΣΗ</t>
  </si>
  <si>
    <t>ΑΜ653619</t>
  </si>
  <si>
    <t>ΚΟΚΟΜΕΤΣΙ</t>
  </si>
  <si>
    <t>ΜΙΡΣΙΟΝΑ</t>
  </si>
  <si>
    <t>ΑΣΚΕΡΙ</t>
  </si>
  <si>
    <t>ΑΝ488265</t>
  </si>
  <si>
    <t>ΚΑΒΡΑΚΟΥ</t>
  </si>
  <si>
    <t>ΜΑΙΡΗ</t>
  </si>
  <si>
    <t>ΑΚ408491</t>
  </si>
  <si>
    <t>ΠΡΑΣΣΑ</t>
  </si>
  <si>
    <t>Π987801</t>
  </si>
  <si>
    <t>ΠΙΤΣΟΥΝΗ</t>
  </si>
  <si>
    <t>ΑΓΓΕΛΙΚΗ ΦΩΤΕΙΝΗ</t>
  </si>
  <si>
    <t>Χ096795</t>
  </si>
  <si>
    <t>ΧΑΙΔΟΥ</t>
  </si>
  <si>
    <t>ΑΚ982629</t>
  </si>
  <si>
    <t>ΚΛΕΙΩ</t>
  </si>
  <si>
    <t>ΑΗ357756</t>
  </si>
  <si>
    <t>ΚΑΛΑΒΡΟΥΖΙΩΤΗ</t>
  </si>
  <si>
    <t>Χ776067</t>
  </si>
  <si>
    <t>ΚΑΤΣΑΒΟΥΛΙΑ</t>
  </si>
  <si>
    <t>ΑΒ551827</t>
  </si>
  <si>
    <t>ΑΜ901997</t>
  </si>
  <si>
    <t>ΑΝ695044</t>
  </si>
  <si>
    <t>ΑΚ229389</t>
  </si>
  <si>
    <t>ΔΑΝΟΥ</t>
  </si>
  <si>
    <t>ΑΒ 835196</t>
  </si>
  <si>
    <t>ΑΗ891109</t>
  </si>
  <si>
    <t>ΠΕΡΙΒΟΛΙΣΙΑΝΟΥ</t>
  </si>
  <si>
    <t>ΑΗ716496</t>
  </si>
  <si>
    <t>ΑΕ156987</t>
  </si>
  <si>
    <t>ΒΡΟΥΛΟΥ</t>
  </si>
  <si>
    <t>ΑΖ440464</t>
  </si>
  <si>
    <t>ΦΩΤΕΙΝΗ ΑΜΑΛΙΑ</t>
  </si>
  <si>
    <t>ΑΖ688678</t>
  </si>
  <si>
    <t>ΣΕΦΕΡΛΗ</t>
  </si>
  <si>
    <t>ΑΜ992057</t>
  </si>
  <si>
    <t>ΑΑ238068</t>
  </si>
  <si>
    <t>ΑΛΕΚΤΟΡΙΔΟΥ</t>
  </si>
  <si>
    <t>ΑΕ862004</t>
  </si>
  <si>
    <t>ΑΗ931189</t>
  </si>
  <si>
    <t>ΣΙΑΜΟΥ</t>
  </si>
  <si>
    <t>ΑΗ704167</t>
  </si>
  <si>
    <t>ΚΟΨΙΑ</t>
  </si>
  <si>
    <t>ΑΚ543892</t>
  </si>
  <si>
    <t>ΜΠΑΒΑ</t>
  </si>
  <si>
    <t>ΑΒ231886</t>
  </si>
  <si>
    <t>ΣΙΩΚΟΥ</t>
  </si>
  <si>
    <t>Ν779854</t>
  </si>
  <si>
    <t>ΠΕΤΣΟΥΛΗ</t>
  </si>
  <si>
    <t>ΑΜ397158</t>
  </si>
  <si>
    <t>ΚΑΜΑΡΙΑΝΑΚΗ</t>
  </si>
  <si>
    <t>ΓΑΡΥΦΑΛΙΑ ΔΕΣΠΟΙΝΑ</t>
  </si>
  <si>
    <t>ΑΖ414309</t>
  </si>
  <si>
    <t>ΣΥΡΙΓΑ</t>
  </si>
  <si>
    <t>ΧΡΗΣΤΙΝΑ</t>
  </si>
  <si>
    <t>ΑΚ369581</t>
  </si>
  <si>
    <t>ΤΡΑΝΤΟΥ</t>
  </si>
  <si>
    <t>ΑΙ281525</t>
  </si>
  <si>
    <t>ΑΚ605469</t>
  </si>
  <si>
    <t>ΚΑΛΛΑΗ</t>
  </si>
  <si>
    <t>ΑΜ991283</t>
  </si>
  <si>
    <t>ΛΑΗ</t>
  </si>
  <si>
    <t>ΑΙ488837</t>
  </si>
  <si>
    <t>ΔΗΜΗΤΡΕΝΤΖΗ</t>
  </si>
  <si>
    <t>ΑΖ805741</t>
  </si>
  <si>
    <t>ΚΟΤΣΙΚΑΡΗ</t>
  </si>
  <si>
    <t>MAΡΙΝΑ</t>
  </si>
  <si>
    <t>Χ744777</t>
  </si>
  <si>
    <t>ΑΗ149207</t>
  </si>
  <si>
    <t>ΠΡΑΠΠΑ</t>
  </si>
  <si>
    <t>ΑΓΟΡΙΤΣΑ</t>
  </si>
  <si>
    <t>Χ481702</t>
  </si>
  <si>
    <t>ΔΕΡΤΙΜΑΝΗ</t>
  </si>
  <si>
    <t>ΑΒ773809</t>
  </si>
  <si>
    <t>ΝΤΟΥΣΗ</t>
  </si>
  <si>
    <t>ΦΛΩΡΑ</t>
  </si>
  <si>
    <t>ΑΒ537234</t>
  </si>
  <si>
    <t>ΧΑΤΖΟΓΛΟΥ</t>
  </si>
  <si>
    <t>ΑΜ439069</t>
  </si>
  <si>
    <t>ΚΥΠΡΙΤΙΔΟΥ</t>
  </si>
  <si>
    <t>ΑΟ389007</t>
  </si>
  <si>
    <t>ΑΝ764672</t>
  </si>
  <si>
    <t>ΜΠΑΡΤΖΟΥ</t>
  </si>
  <si>
    <t>ΑΟ143571</t>
  </si>
  <si>
    <t>ΠΥΡΓΙΛΗ</t>
  </si>
  <si>
    <t>ΑΖ802823</t>
  </si>
  <si>
    <t>ΑΙ482961</t>
  </si>
  <si>
    <t>ΑΡΝΑΟΥΤΗ</t>
  </si>
  <si>
    <t>ΑΗ232336</t>
  </si>
  <si>
    <t>ΦΩΤΙΔΟΥ</t>
  </si>
  <si>
    <t>ΑΕ877588</t>
  </si>
  <si>
    <t>ΚΑΛΜΑΝΤΗ</t>
  </si>
  <si>
    <t>Π718000</t>
  </si>
  <si>
    <t>ΑΙ521889</t>
  </si>
  <si>
    <t>ΓΟΥΤΣΑΚΗ</t>
  </si>
  <si>
    <t>ΑΑ279112</t>
  </si>
  <si>
    <t>Χ804435</t>
  </si>
  <si>
    <t>ΓΕΩΡΓΑΝΤΆ</t>
  </si>
  <si>
    <t>ΑΟ632600</t>
  </si>
  <si>
    <t>ΚΩΤΣΙΔΗΣ</t>
  </si>
  <si>
    <t>ΑΟ210953</t>
  </si>
  <si>
    <t>ΑΡΚΑΛΗ</t>
  </si>
  <si>
    <t>ΑΗ231326</t>
  </si>
  <si>
    <t>ΑΒ210280</t>
  </si>
  <si>
    <t>ΘΕΟΔΟΣΑΚΗ</t>
  </si>
  <si>
    <t>ΑΑ368544</t>
  </si>
  <si>
    <t>ΑΑ967903</t>
  </si>
  <si>
    <t>ΑΝ763980</t>
  </si>
  <si>
    <t>ΚΙΤΣΙΟΥΛΗ</t>
  </si>
  <si>
    <t>Χ232110</t>
  </si>
  <si>
    <t>ΓΑΡΔΙΚΙΩΤΗ</t>
  </si>
  <si>
    <t>ΓΕΩΡΓΟΛΕΩΝΙΔΑΣ</t>
  </si>
  <si>
    <t>ΑΜ550326</t>
  </si>
  <si>
    <t>ΠΑΝΩΡ</t>
  </si>
  <si>
    <t>Σ535978</t>
  </si>
  <si>
    <t>ΑΣΠΙΩΤΗ</t>
  </si>
  <si>
    <t>ΓΕΩΡΓΙΑ ΑΓΓΕΛΙΚΗ</t>
  </si>
  <si>
    <t>ΑΙ877703</t>
  </si>
  <si>
    <t>ΚΟΥΛΙΟΥΜΠΑ</t>
  </si>
  <si>
    <t>ΑΖ812085</t>
  </si>
  <si>
    <t>ΣΑΛΠΙΣΤΗ</t>
  </si>
  <si>
    <t>ΑΕ355107</t>
  </si>
  <si>
    <t>ΛΕΛΙΟΠΟΥΛΟΥ</t>
  </si>
  <si>
    <t>ΑΖ426363</t>
  </si>
  <si>
    <t xml:space="preserve">ΠΕΤΡΙΔΟΥ </t>
  </si>
  <si>
    <t>ΑΖ163515</t>
  </si>
  <si>
    <t>ΑΒ127736</t>
  </si>
  <si>
    <t>ΝΟΡΑ</t>
  </si>
  <si>
    <t>ΚΟΛΙΑΣ</t>
  </si>
  <si>
    <t>ΑΜ097340</t>
  </si>
  <si>
    <t>ΑΖ715819</t>
  </si>
  <si>
    <t>Ρ441451</t>
  </si>
  <si>
    <t>ΛΙΑΣΚΟΥ</t>
  </si>
  <si>
    <t>ΑΒ844168</t>
  </si>
  <si>
    <t>ΑΗ930840</t>
  </si>
  <si>
    <t>ΠΑΠΑΣΤΑΜΑΤΙΟΥ</t>
  </si>
  <si>
    <t>ΑΒ466151</t>
  </si>
  <si>
    <t>ΚΑΤΣΙΚΙΑ</t>
  </si>
  <si>
    <t>Χ279058</t>
  </si>
  <si>
    <t>ΚΟΚΚΙΝΕΛΗ</t>
  </si>
  <si>
    <t>ΑΖ872351</t>
  </si>
  <si>
    <t>ΜΟΥΖΕΛΗ</t>
  </si>
  <si>
    <t>ΑΜ495962</t>
  </si>
  <si>
    <t>ΒΑΜΙΕΔΑΚΗ</t>
  </si>
  <si>
    <t>ΕΛΕΝΗ ΕΙΡΗΝΗ</t>
  </si>
  <si>
    <t>ΠΑΝΑΓΙΩΤΗΣ ΑΝΤΩΝΙΟΣ</t>
  </si>
  <si>
    <t>ΑΖ503580</t>
  </si>
  <si>
    <t>ΒΟΡΒΗ</t>
  </si>
  <si>
    <t>ΑΝΤΩΝΙΑ ΕΥΑΓΓΕΛΙΑ</t>
  </si>
  <si>
    <t>ΑΖ974141</t>
  </si>
  <si>
    <t>ΑΕ018842</t>
  </si>
  <si>
    <t>ΣΟΥΜΑ</t>
  </si>
  <si>
    <t>ΑΙ064441</t>
  </si>
  <si>
    <t>ΜΑΝΘΙΔΟΥ</t>
  </si>
  <si>
    <t>ΝΙΚΟΛΕΤΤΑ ΤΡΙΑΝΤΑΦΥΛΛΙΑ</t>
  </si>
  <si>
    <t>Χ710733</t>
  </si>
  <si>
    <t>ΚΑΤΣΑΝΑΚΗ</t>
  </si>
  <si>
    <t>Χ179654</t>
  </si>
  <si>
    <t>ΑΜ373724</t>
  </si>
  <si>
    <t>ΑΗ488186</t>
  </si>
  <si>
    <t>ΤΡΑΓΟΥΔΑΡΑ</t>
  </si>
  <si>
    <t>ΑΗ741248</t>
  </si>
  <si>
    <t>ΔΡΙΤΣΑ</t>
  </si>
  <si>
    <t>ΑΖ576711</t>
  </si>
  <si>
    <t>ΑΖ231312</t>
  </si>
  <si>
    <t>ΓΚΑΝΤΖΙΑ</t>
  </si>
  <si>
    <t>ΑΚ489588</t>
  </si>
  <si>
    <t>ΓΕΡΑΣΚΛΗ</t>
  </si>
  <si>
    <t>ΜΑΡΙΑ ΕΥΑΓΓΕΛΙΑ</t>
  </si>
  <si>
    <t>ΑΗ950084</t>
  </si>
  <si>
    <t>ΚΟΒΟΥΣΟΓΛΟΥ</t>
  </si>
  <si>
    <t>ΑΑ250103</t>
  </si>
  <si>
    <t>ΑΖ971041</t>
  </si>
  <si>
    <t>ΑΙ957497</t>
  </si>
  <si>
    <t>ΧΑΤΖΗΝΙΚΟΥ</t>
  </si>
  <si>
    <t>ΑΟ689364</t>
  </si>
  <si>
    <t>ΣΚΕΝΤΕΡ</t>
  </si>
  <si>
    <t>ΑΜ642419</t>
  </si>
  <si>
    <t>Χ074486</t>
  </si>
  <si>
    <t>ΑΑ427001</t>
  </si>
  <si>
    <t>ΜΠΙΣΤΙΟΛΑ</t>
  </si>
  <si>
    <t>Τ064847</t>
  </si>
  <si>
    <t>ΠΕΤΡΙΔΗ</t>
  </si>
  <si>
    <t>ΑΚ575995</t>
  </si>
  <si>
    <t>ΠΟΝΤΙΚΑ</t>
  </si>
  <si>
    <t>ΑΙ864980</t>
  </si>
  <si>
    <t>ΚΑΡΑΦΙΛΗ</t>
  </si>
  <si>
    <t>ΑΙ743468</t>
  </si>
  <si>
    <t>ΖΟΜΠΑΝΑΚΗ</t>
  </si>
  <si>
    <t>ΑΒ301547</t>
  </si>
  <si>
    <t>ΑΖ877620</t>
  </si>
  <si>
    <t>ΑΝΔΡΕΟΥ</t>
  </si>
  <si>
    <t>ΑΜ843606</t>
  </si>
  <si>
    <t>ΑΘΗΝΕΛΛΗ</t>
  </si>
  <si>
    <t>ΚΩΣΤΑΝΤΙΝΟΣ</t>
  </si>
  <si>
    <t>ΑΖ927607</t>
  </si>
  <si>
    <t>ΠΕΡΡΟΥ</t>
  </si>
  <si>
    <t>ΑΟ544843</t>
  </si>
  <si>
    <t>ΦΙΛΙΠΠΟΥ</t>
  </si>
  <si>
    <t xml:space="preserve">ΓΕΩΡΓΙΑ </t>
  </si>
  <si>
    <t>ΑΒ108158</t>
  </si>
  <si>
    <t>ΜΑΡΙΑ ΒΑΣΙΛΙΚΗ</t>
  </si>
  <si>
    <t>ΑΒ109611</t>
  </si>
  <si>
    <t>ΠΑΠΑΘΕΟΔΩΡΟΥ</t>
  </si>
  <si>
    <t>ΑΙ199537</t>
  </si>
  <si>
    <t>ΚΟΥΤΣΙΟΓΚΟΥΛΟΥ</t>
  </si>
  <si>
    <t>ΑΑ393840</t>
  </si>
  <si>
    <t>ΦΑΡΛΕΚΑ</t>
  </si>
  <si>
    <t>ΑΕ108304</t>
  </si>
  <si>
    <t>ΧΑΤΖΗΠΑΣΧΑΛΗ</t>
  </si>
  <si>
    <t>ΑΜ711728</t>
  </si>
  <si>
    <t>ΑΗ669862</t>
  </si>
  <si>
    <t>ΛΙΑΣΟΥ</t>
  </si>
  <si>
    <t>ΑΖ800606</t>
  </si>
  <si>
    <t>ΚΑΡΑΝΑΝΟΥ</t>
  </si>
  <si>
    <t xml:space="preserve">ΖΑΧΑΡΙΑΣ </t>
  </si>
  <si>
    <t>Χ650583</t>
  </si>
  <si>
    <t>ΤΣΙΟΥΓΚΡΗ</t>
  </si>
  <si>
    <t>ΑΝ993466</t>
  </si>
  <si>
    <t>ΑΜ301075</t>
  </si>
  <si>
    <t xml:space="preserve">ΕΜΕΡΤΖΙΔΟΥ </t>
  </si>
  <si>
    <t>Χ952501</t>
  </si>
  <si>
    <t>ΚΡΥΣΤΑΛΛΗ</t>
  </si>
  <si>
    <t>ΑΖ881212</t>
  </si>
  <si>
    <t>ΛΙΠΙΩΤΗ</t>
  </si>
  <si>
    <t>ΑΚ455213</t>
  </si>
  <si>
    <t>ΧΟΥΣΑΝΛΗ</t>
  </si>
  <si>
    <t>ΜΙΧΑΕΛΑ</t>
  </si>
  <si>
    <t>ΑΝΑΓΝΩΣΤΗΣ</t>
  </si>
  <si>
    <t>ΑΒ461538</t>
  </si>
  <si>
    <t>ΚΑΡΑΘΑΝΑΣΟΠΟΥΛΟΣ</t>
  </si>
  <si>
    <t>ΑΒ754100</t>
  </si>
  <si>
    <t>ΛΕΟΝΤΗ</t>
  </si>
  <si>
    <t>ΑΙΚΑΤΕΡΙΝΗ ΜΑΡΙΑ</t>
  </si>
  <si>
    <t>ΑΝ510902</t>
  </si>
  <si>
    <t>ΑΙ425770</t>
  </si>
  <si>
    <t>ΧΕΙΝΟΠΩΡΟΥ</t>
  </si>
  <si>
    <t>ΑΙ229829</t>
  </si>
  <si>
    <t>ΧΕΛΩΝΗ</t>
  </si>
  <si>
    <t>Ρ500975</t>
  </si>
  <si>
    <t>ΚΑΡΟΚΗ</t>
  </si>
  <si>
    <t>ΑΗ718772</t>
  </si>
  <si>
    <t>ΑΑ458603</t>
  </si>
  <si>
    <t>ΜΑΝΟΥΡΑ</t>
  </si>
  <si>
    <t>ΧΑΡΑΛΑΜΠΩ</t>
  </si>
  <si>
    <t>ΑΑ070018</t>
  </si>
  <si>
    <t>ΑΖ396537</t>
  </si>
  <si>
    <t>ΑΝ417825</t>
  </si>
  <si>
    <t>ΑΜ096586</t>
  </si>
  <si>
    <t>ΑΝ107351</t>
  </si>
  <si>
    <t>ΑΚ495271</t>
  </si>
  <si>
    <t>ΘΕΟΥΛΗ</t>
  </si>
  <si>
    <t>ΑΟ534862</t>
  </si>
  <si>
    <t>ΚΑΡΑΓΙΑΝΝΗ ΚΑΡΦΗ</t>
  </si>
  <si>
    <t>ΑΚ333403</t>
  </si>
  <si>
    <t>ΑΕ356912</t>
  </si>
  <si>
    <t>ΚΑΛΑΜΑΡΑ</t>
  </si>
  <si>
    <t>ΙΩΑΝΝΑ ΜΑΡΙΑ</t>
  </si>
  <si>
    <t>ΑΝ847137</t>
  </si>
  <si>
    <t>ΠΑΣΙΑΚΟΥ</t>
  </si>
  <si>
    <t>Χ536365</t>
  </si>
  <si>
    <t>ΛΑΠΟΥΣΗ</t>
  </si>
  <si>
    <t>ΦΩΤΗΣ</t>
  </si>
  <si>
    <t>ΑΑ428147</t>
  </si>
  <si>
    <t>ΑΝ106387</t>
  </si>
  <si>
    <t>ΚΟΥΚΟΥΜΤΖΗ</t>
  </si>
  <si>
    <t>Π906036</t>
  </si>
  <si>
    <t>ΜΥΛΩΝΑΚΗ</t>
  </si>
  <si>
    <t>Ρ315213</t>
  </si>
  <si>
    <t>ΓΡΑΜΜΕΝΙΔΟΥ</t>
  </si>
  <si>
    <t>ΑΒ122313</t>
  </si>
  <si>
    <t>Σ930299</t>
  </si>
  <si>
    <t>ΜΠΑΛΙΔΟΥ</t>
  </si>
  <si>
    <t>ΑΖ025222</t>
  </si>
  <si>
    <t xml:space="preserve">ΘΕΟΔΩΡΑ </t>
  </si>
  <si>
    <t>Χ794001</t>
  </si>
  <si>
    <t>ΙΓΓΛΕΖΟΥ</t>
  </si>
  <si>
    <t>ΑΚ420715</t>
  </si>
  <si>
    <t>ΑΝ833678</t>
  </si>
  <si>
    <t>ΑΖ861013</t>
  </si>
  <si>
    <t>ΝΤΟΥΣΚΑ</t>
  </si>
  <si>
    <t>ΑΙ559969</t>
  </si>
  <si>
    <t>ΤΣΙΛΒΙΔΟΥ</t>
  </si>
  <si>
    <t>ΑΑ244232</t>
  </si>
  <si>
    <t>ΓΕΩΡΓΑΚΑ</t>
  </si>
  <si>
    <t>ΑΙ352109</t>
  </si>
  <si>
    <t>ΣΠΥΡΑΚΗ</t>
  </si>
  <si>
    <t>ΑΖ617112</t>
  </si>
  <si>
    <t>ΞΙΟΥΦΗ</t>
  </si>
  <si>
    <t>Σ884343</t>
  </si>
  <si>
    <t>ΣΑΠΑΝΤΖΗ</t>
  </si>
  <si>
    <t>ΔΙΑΜΑΝΤΕΝΙΑ</t>
  </si>
  <si>
    <t>ΑΟ959276</t>
  </si>
  <si>
    <t>ΓΚΑΤΖΟΓΙΑ</t>
  </si>
  <si>
    <t>ΕΙΡΗΝΗ ΑΘΑΝΑΣΙΑ</t>
  </si>
  <si>
    <t>ΑΗ268866</t>
  </si>
  <si>
    <t>Χ034428</t>
  </si>
  <si>
    <t>ΦΟΥΝΤΑΡΛΗ</t>
  </si>
  <si>
    <t>ΑΕ367588</t>
  </si>
  <si>
    <t>Ρ171793</t>
  </si>
  <si>
    <t>ΒΑΣΙΛΙΚΙΩΤΟΥ</t>
  </si>
  <si>
    <t>ΑΑ438251</t>
  </si>
  <si>
    <t>ΤΕΡΙΑΔΟΥ</t>
  </si>
  <si>
    <t>ΝΑΝΤΙΑ</t>
  </si>
  <si>
    <t>ΑΙ654655</t>
  </si>
  <si>
    <t>ΚΑΤΟΥΦΑ</t>
  </si>
  <si>
    <t>ΑΑ413260</t>
  </si>
  <si>
    <t>ΜΑΝΑΒΗ</t>
  </si>
  <si>
    <t>ΑΚ426584</t>
  </si>
  <si>
    <t>ΓΑΝΟΠΟΥΛΟΥ</t>
  </si>
  <si>
    <t>ΑΜ414349</t>
  </si>
  <si>
    <t>ΑΑ310386</t>
  </si>
  <si>
    <t>ΧΑΤΖΗΠΑΥΛΙΔΟΥ</t>
  </si>
  <si>
    <t>ΑΜ673545</t>
  </si>
  <si>
    <t>ΣΚΟΥΛΟΥΔΗ</t>
  </si>
  <si>
    <t>ΑΙ966016</t>
  </si>
  <si>
    <t>ΧΡΥΣΟΒΙΤΣΑΝΟΥ</t>
  </si>
  <si>
    <t>ΑΟ712502</t>
  </si>
  <si>
    <t>ΑΝ495517</t>
  </si>
  <si>
    <t>ΤΣΑΚΥΡΑΚΗ</t>
  </si>
  <si>
    <t>ΑΕ813715</t>
  </si>
  <si>
    <t>ΑΙΝΑΤΣΙΔΟΥ</t>
  </si>
  <si>
    <t>ΑΙ198177</t>
  </si>
  <si>
    <t>ΑΤΣΙΚΠΑΣΗ</t>
  </si>
  <si>
    <t>ΑΙ409824</t>
  </si>
  <si>
    <t>ΤΙΦΤΙΚΟΓΛΟΥ</t>
  </si>
  <si>
    <t>ΑΗ697174</t>
  </si>
  <si>
    <t>ΛΙΟΛΙΑ</t>
  </si>
  <si>
    <t>Χ739091</t>
  </si>
  <si>
    <t>ΑΟ397970</t>
  </si>
  <si>
    <t>ΑΜ378795</t>
  </si>
  <si>
    <t>ΚΟΛΙΟΥ</t>
  </si>
  <si>
    <t>ΑΗ593326</t>
  </si>
  <si>
    <t>ΑΙ056264</t>
  </si>
  <si>
    <t>ΜΠΕΡΕΤΣΟΥ</t>
  </si>
  <si>
    <t>ΑΗ217472</t>
  </si>
  <si>
    <t>ΝΕΣΤΟΡΑ</t>
  </si>
  <si>
    <t>ΑΖ604664</t>
  </si>
  <si>
    <t>ΠΑΠΑΔΟΓΙΑΝΝΗ</t>
  </si>
  <si>
    <t>ΑΝ936687</t>
  </si>
  <si>
    <t>ΖΕΙΜΠΕΚΗ</t>
  </si>
  <si>
    <t>ΠΑΝAΓΙΩΤΗΣ</t>
  </si>
  <si>
    <t>Ν918639</t>
  </si>
  <si>
    <t>ΤΟΠΟΥΛΟΥ</t>
  </si>
  <si>
    <t>ΑΜ279375</t>
  </si>
  <si>
    <t>ΒΙΖΟΥ</t>
  </si>
  <si>
    <t>ΑΑ760614</t>
  </si>
  <si>
    <t>ΑΑ378392</t>
  </si>
  <si>
    <t>ΜΠΟΥΡΗ</t>
  </si>
  <si>
    <t>Χ739416</t>
  </si>
  <si>
    <t>ΒΑΘΡΑΚΟΓΙΑΝΝΗ</t>
  </si>
  <si>
    <t>ΑΕ496405</t>
  </si>
  <si>
    <t>ΔΕΣΠΟΙΝΙΔΟΥ</t>
  </si>
  <si>
    <t>ΦΡΕΙΔΕΡΙΚΗ ΑΘΑΝΑΣΙΑ</t>
  </si>
  <si>
    <t>ΑΜ394360</t>
  </si>
  <si>
    <t>ΒΑΓΕΝΑ</t>
  </si>
  <si>
    <t>ΑΒ170009</t>
  </si>
  <si>
    <t>ΑΚ114551</t>
  </si>
  <si>
    <t>ΑΡΑΒΙΔΟΥ</t>
  </si>
  <si>
    <t>ΑΒ1100180</t>
  </si>
  <si>
    <t>ΚΑΡΑΚΑΡΗ</t>
  </si>
  <si>
    <t>Χ246757</t>
  </si>
  <si>
    <t>ΑΗ117995</t>
  </si>
  <si>
    <t>ΧΑΝΔΡΑΚΗ</t>
  </si>
  <si>
    <t>ΑΗ459016</t>
  </si>
  <si>
    <t>ΤΖΕΒΕΛΕΚΟΥ</t>
  </si>
  <si>
    <t>ΑΜ184840</t>
  </si>
  <si>
    <t>ΚΑΡΑΒΟΛΟΥ</t>
  </si>
  <si>
    <t>ΑΖ102026</t>
  </si>
  <si>
    <t>ΑΖ667949</t>
  </si>
  <si>
    <t>ΑΑ440237</t>
  </si>
  <si>
    <t>ΚΟΥΤΡΟΜΑΝΟΥ</t>
  </si>
  <si>
    <t>ΑΙ478705</t>
  </si>
  <si>
    <t>ΠΕΡΑΜΑΤΖΗ</t>
  </si>
  <si>
    <t>ΑΙ627677</t>
  </si>
  <si>
    <t>ΔΡΑΒΙΛΛΑ</t>
  </si>
  <si>
    <t>ΠΗΝΕΛΟΠΗ ΜΑΡΙΑ</t>
  </si>
  <si>
    <t>Ρ526316</t>
  </si>
  <si>
    <t>ΑΟ883681</t>
  </si>
  <si>
    <t>ΑΖ457300</t>
  </si>
  <si>
    <t>HRISTOVA</t>
  </si>
  <si>
    <t>NIKOLOVA</t>
  </si>
  <si>
    <t>ΔΗΜΑΚΑΚΟΥ</t>
  </si>
  <si>
    <t>ΑΙ667406</t>
  </si>
  <si>
    <t>ΚΑΡΑΚΟΤΣΙΔΗ</t>
  </si>
  <si>
    <t>ΑΜ078777</t>
  </si>
  <si>
    <t>ΤΖΙΚΟΠΟΥΛΟΥ</t>
  </si>
  <si>
    <t>ΑΙ720959</t>
  </si>
  <si>
    <t>ΑΒ396215</t>
  </si>
  <si>
    <t>ΚΑΚΟΥΡΑ</t>
  </si>
  <si>
    <t>ΑΒ327700</t>
  </si>
  <si>
    <t>ΑΗ023016</t>
  </si>
  <si>
    <t>ΣΑΜΠΡΗ ΟΓΛΟΥ</t>
  </si>
  <si>
    <t>ΑΡΖΟΥ</t>
  </si>
  <si>
    <t>ΓΙΛΤΙΖ</t>
  </si>
  <si>
    <t>ΑΝ775122</t>
  </si>
  <si>
    <t xml:space="preserve">ΚΙΟΥΡΚΤΣΉ </t>
  </si>
  <si>
    <t xml:space="preserve">ΞΑΝΘΟΎΛΑ </t>
  </si>
  <si>
    <t>ΑΕ910827</t>
  </si>
  <si>
    <t>Φ236795</t>
  </si>
  <si>
    <t>ΝΙΚΗΦΟΡΑΚΗ</t>
  </si>
  <si>
    <t>ΕΥΤΥΧΙΑ ΜΑΡΙΑ</t>
  </si>
  <si>
    <t>ΑΙ942229</t>
  </si>
  <si>
    <t>ΑΒ061825</t>
  </si>
  <si>
    <t>ΚΑΛΦΟΠΟΥΛΟΥ</t>
  </si>
  <si>
    <t>ΑΖ855318</t>
  </si>
  <si>
    <t>ΑΒ843794</t>
  </si>
  <si>
    <t>ΑΕ837314</t>
  </si>
  <si>
    <t>ΧΡΙΣΤΙΝΑ ΧΡΥΣΟΒΑΛΑΝΤ</t>
  </si>
  <si>
    <t>ΑΙ350374</t>
  </si>
  <si>
    <t>1:Βασικός Τίτλος</t>
  </si>
  <si>
    <t>2:Δεύτερος τίτλος σπουδών δευτεροβάθμιας ή μεταδευτεροβάθμιας εκπαίδευσης</t>
  </si>
  <si>
    <t>3:Άριστη γνώση ξένης γλώσσας</t>
  </si>
  <si>
    <t>4:Πολύ καλή γνώση ξένης γλώσσας</t>
  </si>
  <si>
    <t>5:Καλή γνώση ξένης γλώσσας</t>
  </si>
  <si>
    <t>6:Συνολική βαθμολογία ξένων γλωσσών</t>
  </si>
  <si>
    <t>7:Γνώση χειρισμού Η/Υ</t>
  </si>
  <si>
    <t>8:Επιμόρφωση Διάρκειας 300</t>
  </si>
  <si>
    <t>9:Σύνολο Ακαδημαϊκών Προσόντων</t>
  </si>
  <si>
    <t>10:Αριθμός Μηνών Εκπαιδευτικής Προϋπηρεσίας</t>
  </si>
  <si>
    <t>11:Βαθμολογία Εκπαιδευτικής Προϋπηρεσίας</t>
  </si>
  <si>
    <t>12:Αριθμός Μηνών Εκπ. Προϋπηρ. σε Δυσπρόσιτες Σχ.Μονάδες</t>
  </si>
  <si>
    <t>13:Βαθμολογία Μηνών Εκπ. Προϋπηρ. σε Δυσπρόσιτες Σχ.Μονάδες</t>
  </si>
  <si>
    <t>14:Αριθμός μηνών εκπ. προϋπηρ. 3μηνης διάρκειας</t>
  </si>
  <si>
    <t>15:Βαθμολογία εκπ. προϋπηρ. 3μηνης διάρκειας</t>
  </si>
  <si>
    <t>16:Αριθμός μηνών εκπ. προϋπηρ. 3μηνης διάρκειας σε δυσπρόσιτες σχ.μονάδες</t>
  </si>
  <si>
    <t>17:Αριθμός μηνών εκπ. προϋπηρ. 3μηνης διάρκειας σε δυσπρόσιτες σχ. μονάδες</t>
  </si>
  <si>
    <t>18:Συνολική βαθμολογία προϋπηρεσίας</t>
  </si>
  <si>
    <t>19:Βαθμολογία ανηλίκων τέκνων</t>
  </si>
  <si>
    <t>20:Βαθμολογία ποσοστού αναπηρίας</t>
  </si>
  <si>
    <t>21:Πιστοποιημένη επάρκεια στην ελληνική νοηματική γλώσσα (ΕΝΓ)</t>
  </si>
  <si>
    <t>ΠΛΗΡΩΣΗ ΘΕΣΕΩΝ ΜΕ ΣΕΙΡΑ ΠΡΟΤΕΡΑΙΟΤΗΤΑΣ ΜΕΛΩΝ (Ε.Β.Π) ΠΡΟΚΗΡΥΞΗ : 1ΕΑ/2022</t>
  </si>
  <si>
    <t>ΣΕΙΡΑ ΚΑΤΑΤΑΞΗΣ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</si>
  <si>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</si>
  <si>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</si>
  <si>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</si>
  <si>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</si>
  <si>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</si>
  <si>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</si>
  <si>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</si>
  <si>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</si>
  <si>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</si>
  <si>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</si>
  <si>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</si>
  <si>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</si>
  <si>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</si>
  <si>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</si>
  <si>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</si>
  <si>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</si>
  <si>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</si>
  <si>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</si>
  <si>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</si>
  <si>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</si>
  <si>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</si>
  <si>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ΕΚΚΑΘΑΡΙΣΜΕΝΟΣ ΠΙΝΑΚΑΣ</t>
  </si>
  <si>
    <t>ΕΠΙΜΕΛΕΙΑ : ΝΙΚΟΛΟΠΟΥΛΟΥ ΒΑΣΙΑ - ΕΡΓΟΘΕΡΑΠΕΥΤΡΙΑ ΠΕ29 ~ΓΕΝΙΚΗ ΓΡΑΜΜΑΤΕΑΣ ΙΜΕΓΕΕ ~ ΑΝ.ΑΙΡΕΤΗ ΠΥΣΕΕΠ ΣΤΕΡΕΑΣ ΕΛΛΑΔΑΣ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</si>
</sst>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Πίνακας2" displayName="Πίνακας2" ref="A7:AC4136" totalsRowShown="0">
  <autoFilter ref="A7:AC4136"/>
  <tableColumns count="29">
    <tableColumn id="1" name="Α/Α"/>
    <tableColumn id="2" name="Α.Μ."/>
    <tableColumn id="3" name="ΕΠΩΝΥΜΟ"/>
    <tableColumn id="4" name="ΟΝΟΜΑ"/>
    <tableColumn id="5" name="ΠΑΤΡΩΝΥΜΟ"/>
    <tableColumn id="6" name="Α.Δ.Τ."/>
    <tableColumn id="7" name="ΜΟΝΑΔΙΚΟΣ ΚΩΔΙΚΟΣ"/>
    <tableColumn id="8" name="1"/>
    <tableColumn id="9" name="2"/>
    <tableColumn id="10" name="3"/>
    <tableColumn id="11" name="4"/>
    <tableColumn id="12" name="5"/>
    <tableColumn id="13" name="6"/>
    <tableColumn id="14" name="7"/>
    <tableColumn id="15" name="8"/>
    <tableColumn id="16" name="9"/>
    <tableColumn id="17" name="10"/>
    <tableColumn id="18" name="11"/>
    <tableColumn id="19" name="12"/>
    <tableColumn id="20" name="13"/>
    <tableColumn id="21" name="14"/>
    <tableColumn id="22" name="15"/>
    <tableColumn id="23" name="16"/>
    <tableColumn id="24" name="17"/>
    <tableColumn id="25" name="18"/>
    <tableColumn id="26" name="19"/>
    <tableColumn id="27" name="20"/>
    <tableColumn id="28" name="21"/>
    <tableColumn id="29" name="ΒΑΘΜΟΛΟΓΙΑ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174"/>
  <sheetViews>
    <sheetView tabSelected="1" workbookViewId="0">
      <selection activeCell="D4" sqref="D4"/>
    </sheetView>
  </sheetViews>
  <sheetFormatPr defaultRowHeight="15"/>
  <cols>
    <col min="3" max="3" width="13" bestFit="1" customWidth="1"/>
    <col min="4" max="4" width="10.85546875" bestFit="1" customWidth="1"/>
    <col min="5" max="5" width="15.28515625" bestFit="1" customWidth="1"/>
    <col min="6" max="6" width="8.7109375" bestFit="1" customWidth="1"/>
    <col min="7" max="7" width="23.140625" bestFit="1" customWidth="1"/>
    <col min="29" max="29" width="16" bestFit="1" customWidth="1"/>
  </cols>
  <sheetData>
    <row r="1" spans="1:29">
      <c r="A1" t="s">
        <v>8410</v>
      </c>
    </row>
    <row r="2" spans="1:29">
      <c r="A2" t="s">
        <v>8411</v>
      </c>
    </row>
    <row r="3" spans="1:29">
      <c r="A3" t="s">
        <v>0</v>
      </c>
    </row>
    <row r="4" spans="1:29">
      <c r="A4" t="s">
        <v>8433</v>
      </c>
      <c r="D4" s="1" t="s">
        <v>8434</v>
      </c>
    </row>
    <row r="5" spans="1:29">
      <c r="A5" t="s">
        <v>1</v>
      </c>
    </row>
    <row r="7" spans="1:29">
      <c r="A7" t="s">
        <v>2</v>
      </c>
      <c r="B7" t="s">
        <v>3</v>
      </c>
      <c r="C7" t="s">
        <v>4</v>
      </c>
      <c r="D7" t="s">
        <v>5</v>
      </c>
      <c r="E7" t="s">
        <v>6</v>
      </c>
      <c r="F7" t="s">
        <v>7</v>
      </c>
      <c r="G7" t="s">
        <v>8</v>
      </c>
      <c r="H7" t="s">
        <v>8412</v>
      </c>
      <c r="I7" t="s">
        <v>8413</v>
      </c>
      <c r="J7" t="s">
        <v>8414</v>
      </c>
      <c r="K7" t="s">
        <v>8415</v>
      </c>
      <c r="L7" t="s">
        <v>8416</v>
      </c>
      <c r="M7" t="s">
        <v>8417</v>
      </c>
      <c r="N7" t="s">
        <v>8418</v>
      </c>
      <c r="O7" t="s">
        <v>8419</v>
      </c>
      <c r="P7" t="s">
        <v>8420</v>
      </c>
      <c r="Q7" t="s">
        <v>8421</v>
      </c>
      <c r="R7" t="s">
        <v>8422</v>
      </c>
      <c r="S7" t="s">
        <v>8423</v>
      </c>
      <c r="T7" t="s">
        <v>8424</v>
      </c>
      <c r="U7" t="s">
        <v>8425</v>
      </c>
      <c r="V7" t="s">
        <v>8426</v>
      </c>
      <c r="W7" t="s">
        <v>8427</v>
      </c>
      <c r="X7" t="s">
        <v>8428</v>
      </c>
      <c r="Y7" t="s">
        <v>8429</v>
      </c>
      <c r="Z7" t="s">
        <v>8430</v>
      </c>
      <c r="AA7" t="s">
        <v>8431</v>
      </c>
      <c r="AB7" t="s">
        <v>8432</v>
      </c>
      <c r="AC7" t="s">
        <v>9</v>
      </c>
    </row>
    <row r="8" spans="1:29">
      <c r="A8">
        <v>1</v>
      </c>
      <c r="B8">
        <v>337</v>
      </c>
      <c r="C8" t="s">
        <v>10</v>
      </c>
      <c r="D8" t="s">
        <v>11</v>
      </c>
      <c r="E8" t="s">
        <v>12</v>
      </c>
      <c r="F8" t="s">
        <v>13</v>
      </c>
      <c r="G8" t="str">
        <f>"00504540"</f>
        <v>00504540</v>
      </c>
      <c r="H8">
        <v>72</v>
      </c>
      <c r="I8">
        <v>10</v>
      </c>
      <c r="M8">
        <v>0</v>
      </c>
      <c r="N8">
        <v>4</v>
      </c>
      <c r="O8">
        <v>2</v>
      </c>
      <c r="P8">
        <v>88</v>
      </c>
      <c r="Q8">
        <v>87</v>
      </c>
      <c r="R8">
        <v>87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87</v>
      </c>
      <c r="Z8">
        <v>0</v>
      </c>
      <c r="AA8">
        <v>0</v>
      </c>
      <c r="AC8">
        <v>175</v>
      </c>
    </row>
    <row r="9" spans="1:29">
      <c r="A9">
        <v>2</v>
      </c>
      <c r="B9">
        <v>995</v>
      </c>
      <c r="C9" t="s">
        <v>14</v>
      </c>
      <c r="D9" t="s">
        <v>14</v>
      </c>
      <c r="E9" t="s">
        <v>15</v>
      </c>
      <c r="F9" t="s">
        <v>16</v>
      </c>
      <c r="G9" t="str">
        <f>"00516848"</f>
        <v>00516848</v>
      </c>
      <c r="H9">
        <v>72</v>
      </c>
      <c r="I9">
        <v>10</v>
      </c>
      <c r="L9">
        <v>4</v>
      </c>
      <c r="M9">
        <v>4</v>
      </c>
      <c r="N9">
        <v>4</v>
      </c>
      <c r="O9">
        <v>2</v>
      </c>
      <c r="P9">
        <v>92</v>
      </c>
      <c r="Q9">
        <v>77</v>
      </c>
      <c r="R9">
        <v>77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77</v>
      </c>
      <c r="Z9">
        <v>3</v>
      </c>
      <c r="AA9">
        <v>0</v>
      </c>
      <c r="AC9">
        <v>172</v>
      </c>
    </row>
    <row r="10" spans="1:29">
      <c r="A10">
        <v>3</v>
      </c>
      <c r="B10">
        <v>123</v>
      </c>
      <c r="C10" t="s">
        <v>19</v>
      </c>
      <c r="D10" t="s">
        <v>20</v>
      </c>
      <c r="E10" t="s">
        <v>21</v>
      </c>
      <c r="F10" t="s">
        <v>22</v>
      </c>
      <c r="G10" t="str">
        <f>"00150403"</f>
        <v>00150403</v>
      </c>
      <c r="H10">
        <v>57.6</v>
      </c>
      <c r="I10">
        <v>10</v>
      </c>
      <c r="L10">
        <v>4</v>
      </c>
      <c r="M10">
        <v>4</v>
      </c>
      <c r="N10">
        <v>4</v>
      </c>
      <c r="O10">
        <v>2</v>
      </c>
      <c r="P10">
        <v>77.599999999999994</v>
      </c>
      <c r="Q10">
        <v>79</v>
      </c>
      <c r="R10">
        <v>79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79</v>
      </c>
      <c r="Z10">
        <v>6</v>
      </c>
      <c r="AA10">
        <v>0</v>
      </c>
      <c r="AC10">
        <v>162.6</v>
      </c>
    </row>
    <row r="11" spans="1:29">
      <c r="A11">
        <v>4</v>
      </c>
      <c r="B11">
        <v>3831</v>
      </c>
      <c r="C11" t="s">
        <v>23</v>
      </c>
      <c r="D11" t="s">
        <v>24</v>
      </c>
      <c r="E11" t="s">
        <v>18</v>
      </c>
      <c r="F11" t="s">
        <v>25</v>
      </c>
      <c r="G11" t="str">
        <f>"00530678"</f>
        <v>00530678</v>
      </c>
      <c r="H11">
        <v>50.4</v>
      </c>
      <c r="I11">
        <v>10</v>
      </c>
      <c r="J11">
        <v>8</v>
      </c>
      <c r="M11">
        <v>8</v>
      </c>
      <c r="N11">
        <v>4</v>
      </c>
      <c r="O11">
        <v>2</v>
      </c>
      <c r="P11">
        <v>74.400000000000006</v>
      </c>
      <c r="Q11">
        <v>84</v>
      </c>
      <c r="R11">
        <v>84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84</v>
      </c>
      <c r="Z11">
        <v>0</v>
      </c>
      <c r="AA11">
        <v>0</v>
      </c>
      <c r="AC11">
        <v>158.4</v>
      </c>
    </row>
    <row r="12" spans="1:29">
      <c r="A12">
        <v>5</v>
      </c>
      <c r="B12">
        <v>157</v>
      </c>
      <c r="C12" t="s">
        <v>26</v>
      </c>
      <c r="D12" t="s">
        <v>27</v>
      </c>
      <c r="E12" t="s">
        <v>28</v>
      </c>
      <c r="F12" t="s">
        <v>29</v>
      </c>
      <c r="G12" t="str">
        <f>"00498410"</f>
        <v>00498410</v>
      </c>
      <c r="H12">
        <v>43.2</v>
      </c>
      <c r="I12">
        <v>10</v>
      </c>
      <c r="L12">
        <v>4</v>
      </c>
      <c r="M12">
        <v>4</v>
      </c>
      <c r="N12">
        <v>4</v>
      </c>
      <c r="O12">
        <v>0</v>
      </c>
      <c r="P12">
        <v>61.2</v>
      </c>
      <c r="Q12">
        <v>94</v>
      </c>
      <c r="R12">
        <v>94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94</v>
      </c>
      <c r="Z12">
        <v>3</v>
      </c>
      <c r="AA12">
        <v>0</v>
      </c>
      <c r="AC12">
        <v>158.19999999999999</v>
      </c>
    </row>
    <row r="13" spans="1:29">
      <c r="A13">
        <v>6</v>
      </c>
      <c r="B13">
        <v>4089</v>
      </c>
      <c r="C13" t="s">
        <v>30</v>
      </c>
      <c r="D13" t="s">
        <v>31</v>
      </c>
      <c r="E13" t="s">
        <v>32</v>
      </c>
      <c r="F13" t="s">
        <v>33</v>
      </c>
      <c r="G13" t="str">
        <f>"201510002078"</f>
        <v>201510002078</v>
      </c>
      <c r="H13">
        <v>64.8</v>
      </c>
      <c r="I13">
        <v>10</v>
      </c>
      <c r="L13">
        <v>4</v>
      </c>
      <c r="M13">
        <v>4</v>
      </c>
      <c r="N13">
        <v>4</v>
      </c>
      <c r="O13">
        <v>2</v>
      </c>
      <c r="P13">
        <v>84.8</v>
      </c>
      <c r="Q13">
        <v>66</v>
      </c>
      <c r="R13">
        <v>66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66</v>
      </c>
      <c r="Z13">
        <v>6</v>
      </c>
      <c r="AA13">
        <v>0</v>
      </c>
      <c r="AC13">
        <v>156.80000000000001</v>
      </c>
    </row>
    <row r="14" spans="1:29">
      <c r="A14">
        <v>7</v>
      </c>
      <c r="B14">
        <v>4439</v>
      </c>
      <c r="C14" t="s">
        <v>34</v>
      </c>
      <c r="D14" t="s">
        <v>35</v>
      </c>
      <c r="E14" t="s">
        <v>36</v>
      </c>
      <c r="F14" t="s">
        <v>37</v>
      </c>
      <c r="G14" t="str">
        <f>"00490807"</f>
        <v>00490807</v>
      </c>
      <c r="H14">
        <v>26.56</v>
      </c>
      <c r="I14">
        <v>0</v>
      </c>
      <c r="M14">
        <v>0</v>
      </c>
      <c r="N14">
        <v>4</v>
      </c>
      <c r="O14">
        <v>2</v>
      </c>
      <c r="P14">
        <v>32.56</v>
      </c>
      <c r="Q14">
        <v>91</v>
      </c>
      <c r="R14">
        <v>91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91</v>
      </c>
      <c r="Z14">
        <v>12</v>
      </c>
      <c r="AA14">
        <v>20</v>
      </c>
      <c r="AC14">
        <v>155.56</v>
      </c>
    </row>
    <row r="15" spans="1:29">
      <c r="A15">
        <v>8</v>
      </c>
      <c r="B15">
        <v>3641</v>
      </c>
      <c r="C15" t="s">
        <v>38</v>
      </c>
      <c r="D15" t="s">
        <v>39</v>
      </c>
      <c r="E15" t="s">
        <v>36</v>
      </c>
      <c r="F15" t="s">
        <v>40</v>
      </c>
      <c r="G15" t="str">
        <f>"00479971"</f>
        <v>00479971</v>
      </c>
      <c r="H15">
        <v>64.8</v>
      </c>
      <c r="I15">
        <v>10</v>
      </c>
      <c r="L15">
        <v>4</v>
      </c>
      <c r="M15">
        <v>4</v>
      </c>
      <c r="N15">
        <v>4</v>
      </c>
      <c r="O15">
        <v>2</v>
      </c>
      <c r="P15">
        <v>84.8</v>
      </c>
      <c r="Q15">
        <v>67</v>
      </c>
      <c r="R15">
        <v>67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67</v>
      </c>
      <c r="Z15">
        <v>3</v>
      </c>
      <c r="AA15">
        <v>0</v>
      </c>
      <c r="AC15">
        <v>154.80000000000001</v>
      </c>
    </row>
    <row r="16" spans="1:29">
      <c r="A16">
        <v>9</v>
      </c>
      <c r="B16">
        <v>933</v>
      </c>
      <c r="C16" t="s">
        <v>41</v>
      </c>
      <c r="D16" t="s">
        <v>42</v>
      </c>
      <c r="E16" t="s">
        <v>43</v>
      </c>
      <c r="F16" t="s">
        <v>44</v>
      </c>
      <c r="G16" t="str">
        <f>"200811000675"</f>
        <v>200811000675</v>
      </c>
      <c r="H16">
        <v>43.2</v>
      </c>
      <c r="I16">
        <v>10</v>
      </c>
      <c r="L16">
        <v>4</v>
      </c>
      <c r="M16">
        <v>4</v>
      </c>
      <c r="N16">
        <v>4</v>
      </c>
      <c r="O16">
        <v>2</v>
      </c>
      <c r="P16">
        <v>63.2</v>
      </c>
      <c r="Q16">
        <v>89</v>
      </c>
      <c r="R16">
        <v>89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89</v>
      </c>
      <c r="Z16">
        <v>0</v>
      </c>
      <c r="AA16">
        <v>0</v>
      </c>
      <c r="AC16">
        <v>152.19999999999999</v>
      </c>
    </row>
    <row r="17" spans="1:29">
      <c r="A17">
        <v>10</v>
      </c>
      <c r="B17">
        <v>4432</v>
      </c>
      <c r="C17" t="s">
        <v>45</v>
      </c>
      <c r="D17" t="s">
        <v>46</v>
      </c>
      <c r="E17" t="s">
        <v>15</v>
      </c>
      <c r="F17" t="s">
        <v>47</v>
      </c>
      <c r="G17" t="str">
        <f>"00482897"</f>
        <v>00482897</v>
      </c>
      <c r="H17">
        <v>30.92</v>
      </c>
      <c r="I17">
        <v>10</v>
      </c>
      <c r="L17">
        <v>4</v>
      </c>
      <c r="M17">
        <v>4</v>
      </c>
      <c r="N17">
        <v>4</v>
      </c>
      <c r="O17">
        <v>2</v>
      </c>
      <c r="P17">
        <v>50.92</v>
      </c>
      <c r="Q17">
        <v>95</v>
      </c>
      <c r="R17">
        <v>95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95</v>
      </c>
      <c r="Z17">
        <v>6</v>
      </c>
      <c r="AA17">
        <v>0</v>
      </c>
      <c r="AC17">
        <v>151.91999999999999</v>
      </c>
    </row>
    <row r="18" spans="1:29">
      <c r="A18">
        <v>11</v>
      </c>
      <c r="B18">
        <v>4865</v>
      </c>
      <c r="C18" t="s">
        <v>48</v>
      </c>
      <c r="D18" t="s">
        <v>49</v>
      </c>
      <c r="E18" t="s">
        <v>50</v>
      </c>
      <c r="F18" t="s">
        <v>51</v>
      </c>
      <c r="G18" t="str">
        <f>"201509000030"</f>
        <v>201509000030</v>
      </c>
      <c r="H18">
        <v>39.6</v>
      </c>
      <c r="I18">
        <v>10</v>
      </c>
      <c r="K18">
        <v>6</v>
      </c>
      <c r="L18">
        <v>4</v>
      </c>
      <c r="M18">
        <v>10</v>
      </c>
      <c r="N18">
        <v>4</v>
      </c>
      <c r="O18">
        <v>2</v>
      </c>
      <c r="P18">
        <v>64</v>
      </c>
      <c r="Q18">
        <v>87</v>
      </c>
      <c r="R18">
        <v>87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87</v>
      </c>
      <c r="Z18">
        <v>0</v>
      </c>
      <c r="AA18">
        <v>0</v>
      </c>
      <c r="AC18">
        <v>151</v>
      </c>
    </row>
    <row r="19" spans="1:29">
      <c r="A19">
        <v>12</v>
      </c>
      <c r="B19">
        <v>2735</v>
      </c>
      <c r="C19" t="s">
        <v>54</v>
      </c>
      <c r="D19" t="s">
        <v>55</v>
      </c>
      <c r="E19" t="s">
        <v>56</v>
      </c>
      <c r="F19" t="s">
        <v>57</v>
      </c>
      <c r="G19" t="str">
        <f>"00519862"</f>
        <v>00519862</v>
      </c>
      <c r="H19">
        <v>50.4</v>
      </c>
      <c r="I19">
        <v>10</v>
      </c>
      <c r="J19">
        <v>8</v>
      </c>
      <c r="M19">
        <v>8</v>
      </c>
      <c r="N19">
        <v>4</v>
      </c>
      <c r="O19">
        <v>2</v>
      </c>
      <c r="P19">
        <v>74.400000000000006</v>
      </c>
      <c r="Q19">
        <v>69</v>
      </c>
      <c r="R19">
        <v>69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69</v>
      </c>
      <c r="Z19">
        <v>6</v>
      </c>
      <c r="AA19">
        <v>0</v>
      </c>
      <c r="AC19">
        <v>149.4</v>
      </c>
    </row>
    <row r="20" spans="1:29">
      <c r="A20">
        <v>13</v>
      </c>
      <c r="B20">
        <v>2450</v>
      </c>
      <c r="C20" t="s">
        <v>58</v>
      </c>
      <c r="D20" t="s">
        <v>59</v>
      </c>
      <c r="E20" t="s">
        <v>60</v>
      </c>
      <c r="F20" t="s">
        <v>61</v>
      </c>
      <c r="G20" t="str">
        <f>"00161729"</f>
        <v>00161729</v>
      </c>
      <c r="H20">
        <v>50.4</v>
      </c>
      <c r="I20">
        <v>10</v>
      </c>
      <c r="L20">
        <v>4</v>
      </c>
      <c r="M20">
        <v>4</v>
      </c>
      <c r="N20">
        <v>4</v>
      </c>
      <c r="O20">
        <v>2</v>
      </c>
      <c r="P20">
        <v>70.400000000000006</v>
      </c>
      <c r="Q20">
        <v>76</v>
      </c>
      <c r="R20">
        <v>76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76</v>
      </c>
      <c r="Z20">
        <v>3</v>
      </c>
      <c r="AA20">
        <v>0</v>
      </c>
      <c r="AC20">
        <v>149.4</v>
      </c>
    </row>
    <row r="21" spans="1:29">
      <c r="A21">
        <v>14</v>
      </c>
      <c r="B21">
        <v>1424</v>
      </c>
      <c r="C21" t="s">
        <v>62</v>
      </c>
      <c r="D21" t="s">
        <v>63</v>
      </c>
      <c r="E21" t="s">
        <v>15</v>
      </c>
      <c r="F21" t="s">
        <v>64</v>
      </c>
      <c r="G21" t="str">
        <f>"00441493"</f>
        <v>00441493</v>
      </c>
      <c r="H21">
        <v>64.8</v>
      </c>
      <c r="I21">
        <v>10</v>
      </c>
      <c r="K21">
        <v>6</v>
      </c>
      <c r="M21">
        <v>6</v>
      </c>
      <c r="N21">
        <v>4</v>
      </c>
      <c r="O21">
        <v>2</v>
      </c>
      <c r="P21">
        <v>86.8</v>
      </c>
      <c r="Q21">
        <v>62</v>
      </c>
      <c r="R21">
        <v>62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62</v>
      </c>
      <c r="Z21">
        <v>0</v>
      </c>
      <c r="AA21">
        <v>0</v>
      </c>
      <c r="AC21">
        <v>148.80000000000001</v>
      </c>
    </row>
    <row r="22" spans="1:29">
      <c r="A22">
        <v>15</v>
      </c>
      <c r="B22">
        <v>3614</v>
      </c>
      <c r="C22" t="s">
        <v>65</v>
      </c>
      <c r="D22" t="s">
        <v>27</v>
      </c>
      <c r="E22" t="s">
        <v>66</v>
      </c>
      <c r="F22" t="s">
        <v>67</v>
      </c>
      <c r="G22" t="str">
        <f>"00484612"</f>
        <v>00484612</v>
      </c>
      <c r="H22">
        <v>43.2</v>
      </c>
      <c r="I22">
        <v>0</v>
      </c>
      <c r="L22">
        <v>4</v>
      </c>
      <c r="M22">
        <v>4</v>
      </c>
      <c r="N22">
        <v>4</v>
      </c>
      <c r="O22">
        <v>2</v>
      </c>
      <c r="P22">
        <v>53.2</v>
      </c>
      <c r="Q22">
        <v>95</v>
      </c>
      <c r="R22">
        <v>95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95</v>
      </c>
      <c r="Z22">
        <v>0</v>
      </c>
      <c r="AA22">
        <v>0</v>
      </c>
      <c r="AC22">
        <v>148.19999999999999</v>
      </c>
    </row>
    <row r="23" spans="1:29">
      <c r="A23">
        <v>16</v>
      </c>
      <c r="B23">
        <v>3891</v>
      </c>
      <c r="C23" t="s">
        <v>68</v>
      </c>
      <c r="D23" t="s">
        <v>69</v>
      </c>
      <c r="E23" t="s">
        <v>70</v>
      </c>
      <c r="F23" t="s">
        <v>71</v>
      </c>
      <c r="G23" t="str">
        <f>"00504113"</f>
        <v>00504113</v>
      </c>
      <c r="H23">
        <v>50.4</v>
      </c>
      <c r="I23">
        <v>0</v>
      </c>
      <c r="M23">
        <v>0</v>
      </c>
      <c r="N23">
        <v>0</v>
      </c>
      <c r="O23">
        <v>2</v>
      </c>
      <c r="P23">
        <v>52.4</v>
      </c>
      <c r="Q23">
        <v>89</v>
      </c>
      <c r="R23">
        <v>89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89</v>
      </c>
      <c r="Z23">
        <v>6</v>
      </c>
      <c r="AA23">
        <v>0</v>
      </c>
      <c r="AC23">
        <v>147.4</v>
      </c>
    </row>
    <row r="24" spans="1:29">
      <c r="A24">
        <v>17</v>
      </c>
      <c r="B24">
        <v>3543</v>
      </c>
      <c r="C24" t="s">
        <v>72</v>
      </c>
      <c r="D24" t="s">
        <v>73</v>
      </c>
      <c r="E24" t="s">
        <v>74</v>
      </c>
      <c r="F24" t="s">
        <v>75</v>
      </c>
      <c r="G24" t="str">
        <f>"00477642"</f>
        <v>00477642</v>
      </c>
      <c r="H24">
        <v>36</v>
      </c>
      <c r="I24">
        <v>10</v>
      </c>
      <c r="L24">
        <v>4</v>
      </c>
      <c r="M24">
        <v>4</v>
      </c>
      <c r="N24">
        <v>4</v>
      </c>
      <c r="O24">
        <v>2</v>
      </c>
      <c r="P24">
        <v>56</v>
      </c>
      <c r="Q24">
        <v>91</v>
      </c>
      <c r="R24">
        <v>91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91</v>
      </c>
      <c r="Z24">
        <v>0</v>
      </c>
      <c r="AA24">
        <v>0</v>
      </c>
      <c r="AC24">
        <v>147</v>
      </c>
    </row>
    <row r="25" spans="1:29">
      <c r="A25">
        <v>18</v>
      </c>
      <c r="B25">
        <v>530</v>
      </c>
      <c r="C25" t="s">
        <v>76</v>
      </c>
      <c r="D25" t="s">
        <v>52</v>
      </c>
      <c r="E25" t="s">
        <v>77</v>
      </c>
      <c r="F25" t="s">
        <v>78</v>
      </c>
      <c r="G25" t="str">
        <f>"00507800"</f>
        <v>00507800</v>
      </c>
      <c r="H25">
        <v>38.68</v>
      </c>
      <c r="I25">
        <v>0</v>
      </c>
      <c r="M25">
        <v>0</v>
      </c>
      <c r="N25">
        <v>4</v>
      </c>
      <c r="O25">
        <v>0</v>
      </c>
      <c r="P25">
        <v>42.68</v>
      </c>
      <c r="Q25">
        <v>104</v>
      </c>
      <c r="R25">
        <v>104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104</v>
      </c>
      <c r="Z25">
        <v>0</v>
      </c>
      <c r="AA25">
        <v>0</v>
      </c>
      <c r="AC25">
        <v>146.68</v>
      </c>
    </row>
    <row r="26" spans="1:29">
      <c r="A26">
        <v>19</v>
      </c>
      <c r="B26">
        <v>939</v>
      </c>
      <c r="C26" t="s">
        <v>80</v>
      </c>
      <c r="D26" t="s">
        <v>52</v>
      </c>
      <c r="E26" t="s">
        <v>81</v>
      </c>
      <c r="F26" t="s">
        <v>82</v>
      </c>
      <c r="G26" t="str">
        <f>"00516321"</f>
        <v>00516321</v>
      </c>
      <c r="H26">
        <v>28.8</v>
      </c>
      <c r="I26">
        <v>0</v>
      </c>
      <c r="L26">
        <v>4</v>
      </c>
      <c r="M26">
        <v>4</v>
      </c>
      <c r="N26">
        <v>4</v>
      </c>
      <c r="O26">
        <v>2</v>
      </c>
      <c r="P26">
        <v>38.799999999999997</v>
      </c>
      <c r="Q26">
        <v>107</v>
      </c>
      <c r="R26">
        <v>107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107</v>
      </c>
      <c r="Z26">
        <v>0</v>
      </c>
      <c r="AA26">
        <v>0</v>
      </c>
      <c r="AC26">
        <v>145.80000000000001</v>
      </c>
    </row>
    <row r="27" spans="1:29">
      <c r="A27">
        <v>20</v>
      </c>
      <c r="B27">
        <v>543</v>
      </c>
      <c r="C27" t="s">
        <v>83</v>
      </c>
      <c r="D27" t="s">
        <v>39</v>
      </c>
      <c r="E27" t="s">
        <v>79</v>
      </c>
      <c r="F27" t="s">
        <v>84</v>
      </c>
      <c r="G27" t="str">
        <f>"00529419"</f>
        <v>00529419</v>
      </c>
      <c r="H27">
        <v>26.48</v>
      </c>
      <c r="I27">
        <v>0</v>
      </c>
      <c r="M27">
        <v>0</v>
      </c>
      <c r="N27">
        <v>4</v>
      </c>
      <c r="O27">
        <v>0</v>
      </c>
      <c r="P27">
        <v>30.48</v>
      </c>
      <c r="Q27">
        <v>92</v>
      </c>
      <c r="R27">
        <v>92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92</v>
      </c>
      <c r="Z27">
        <v>3</v>
      </c>
      <c r="AA27">
        <v>20</v>
      </c>
      <c r="AC27">
        <v>145.47999999999999</v>
      </c>
    </row>
    <row r="28" spans="1:29">
      <c r="A28">
        <v>21</v>
      </c>
      <c r="B28">
        <v>3531</v>
      </c>
      <c r="C28" t="s">
        <v>85</v>
      </c>
      <c r="D28" t="s">
        <v>86</v>
      </c>
      <c r="E28" t="s">
        <v>79</v>
      </c>
      <c r="F28" t="s">
        <v>87</v>
      </c>
      <c r="G28" t="str">
        <f>"00520517"</f>
        <v>00520517</v>
      </c>
      <c r="H28">
        <v>50.4</v>
      </c>
      <c r="I28">
        <v>10</v>
      </c>
      <c r="L28">
        <v>4</v>
      </c>
      <c r="M28">
        <v>4</v>
      </c>
      <c r="N28">
        <v>4</v>
      </c>
      <c r="O28">
        <v>2</v>
      </c>
      <c r="P28">
        <v>70.400000000000006</v>
      </c>
      <c r="Q28">
        <v>69</v>
      </c>
      <c r="R28">
        <v>69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69</v>
      </c>
      <c r="Z28">
        <v>6</v>
      </c>
      <c r="AA28">
        <v>0</v>
      </c>
      <c r="AC28">
        <v>145.4</v>
      </c>
    </row>
    <row r="29" spans="1:29">
      <c r="A29">
        <v>22</v>
      </c>
      <c r="B29">
        <v>2819</v>
      </c>
      <c r="C29" t="s">
        <v>88</v>
      </c>
      <c r="D29" t="s">
        <v>39</v>
      </c>
      <c r="E29" t="s">
        <v>89</v>
      </c>
      <c r="F29" t="s">
        <v>90</v>
      </c>
      <c r="G29" t="str">
        <f>"00506611"</f>
        <v>00506611</v>
      </c>
      <c r="H29">
        <v>31.12</v>
      </c>
      <c r="I29">
        <v>0</v>
      </c>
      <c r="L29">
        <v>4</v>
      </c>
      <c r="M29">
        <v>4</v>
      </c>
      <c r="N29">
        <v>4</v>
      </c>
      <c r="O29">
        <v>2</v>
      </c>
      <c r="P29">
        <v>41.12</v>
      </c>
      <c r="Q29">
        <v>98</v>
      </c>
      <c r="R29">
        <v>98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98</v>
      </c>
      <c r="Z29">
        <v>6</v>
      </c>
      <c r="AA29">
        <v>0</v>
      </c>
      <c r="AC29">
        <v>145.12</v>
      </c>
    </row>
    <row r="30" spans="1:29">
      <c r="A30">
        <v>23</v>
      </c>
      <c r="B30">
        <v>588</v>
      </c>
      <c r="C30" t="s">
        <v>91</v>
      </c>
      <c r="D30" t="s">
        <v>20</v>
      </c>
      <c r="E30" t="s">
        <v>92</v>
      </c>
      <c r="F30" t="s">
        <v>93</v>
      </c>
      <c r="G30" t="str">
        <f>"00515074"</f>
        <v>00515074</v>
      </c>
      <c r="H30">
        <v>18.920000000000002</v>
      </c>
      <c r="I30">
        <v>0</v>
      </c>
      <c r="M30">
        <v>0</v>
      </c>
      <c r="N30">
        <v>4</v>
      </c>
      <c r="O30">
        <v>0</v>
      </c>
      <c r="P30">
        <v>22.92</v>
      </c>
      <c r="Q30">
        <v>116</v>
      </c>
      <c r="R30">
        <v>116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116</v>
      </c>
      <c r="Z30">
        <v>6</v>
      </c>
      <c r="AA30">
        <v>0</v>
      </c>
      <c r="AC30">
        <v>144.91999999999999</v>
      </c>
    </row>
    <row r="31" spans="1:29">
      <c r="A31">
        <v>24</v>
      </c>
      <c r="B31">
        <v>3441</v>
      </c>
      <c r="C31" t="s">
        <v>94</v>
      </c>
      <c r="D31" t="s">
        <v>95</v>
      </c>
      <c r="E31" t="s">
        <v>18</v>
      </c>
      <c r="F31" t="s">
        <v>96</v>
      </c>
      <c r="G31" t="str">
        <f>"00513625"</f>
        <v>00513625</v>
      </c>
      <c r="H31">
        <v>64.8</v>
      </c>
      <c r="I31">
        <v>10</v>
      </c>
      <c r="L31">
        <v>4</v>
      </c>
      <c r="M31">
        <v>4</v>
      </c>
      <c r="N31">
        <v>4</v>
      </c>
      <c r="O31">
        <v>2</v>
      </c>
      <c r="P31">
        <v>84.8</v>
      </c>
      <c r="Q31">
        <v>54</v>
      </c>
      <c r="R31">
        <v>54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54</v>
      </c>
      <c r="Z31">
        <v>6</v>
      </c>
      <c r="AA31">
        <v>0</v>
      </c>
      <c r="AC31">
        <v>144.80000000000001</v>
      </c>
    </row>
    <row r="32" spans="1:29">
      <c r="A32">
        <v>25</v>
      </c>
      <c r="B32">
        <v>4294</v>
      </c>
      <c r="C32" t="s">
        <v>97</v>
      </c>
      <c r="D32" t="s">
        <v>98</v>
      </c>
      <c r="E32" t="s">
        <v>99</v>
      </c>
      <c r="F32" t="s">
        <v>100</v>
      </c>
      <c r="G32" t="str">
        <f>"00484160"</f>
        <v>00484160</v>
      </c>
      <c r="H32">
        <v>28.8</v>
      </c>
      <c r="I32">
        <v>0</v>
      </c>
      <c r="M32">
        <v>0</v>
      </c>
      <c r="N32">
        <v>4</v>
      </c>
      <c r="O32">
        <v>0</v>
      </c>
      <c r="P32">
        <v>32.799999999999997</v>
      </c>
      <c r="Q32">
        <v>82</v>
      </c>
      <c r="R32">
        <v>82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82</v>
      </c>
      <c r="Z32">
        <v>3</v>
      </c>
      <c r="AA32">
        <v>26.8</v>
      </c>
      <c r="AC32">
        <v>144.6</v>
      </c>
    </row>
    <row r="33" spans="1:29">
      <c r="A33">
        <v>26</v>
      </c>
      <c r="B33">
        <v>506</v>
      </c>
      <c r="C33" t="s">
        <v>101</v>
      </c>
      <c r="D33" t="s">
        <v>102</v>
      </c>
      <c r="E33" t="s">
        <v>103</v>
      </c>
      <c r="F33" t="s">
        <v>104</v>
      </c>
      <c r="G33" t="str">
        <f>"00442052"</f>
        <v>00442052</v>
      </c>
      <c r="H33">
        <v>40</v>
      </c>
      <c r="I33">
        <v>10</v>
      </c>
      <c r="J33">
        <v>8</v>
      </c>
      <c r="M33">
        <v>8</v>
      </c>
      <c r="N33">
        <v>4</v>
      </c>
      <c r="O33">
        <v>0</v>
      </c>
      <c r="P33">
        <v>62</v>
      </c>
      <c r="Q33">
        <v>79</v>
      </c>
      <c r="R33">
        <v>79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79</v>
      </c>
      <c r="Z33">
        <v>3</v>
      </c>
      <c r="AA33">
        <v>0</v>
      </c>
      <c r="AC33">
        <v>144</v>
      </c>
    </row>
    <row r="34" spans="1:29">
      <c r="A34">
        <v>27</v>
      </c>
      <c r="B34">
        <v>2722</v>
      </c>
      <c r="C34" t="s">
        <v>105</v>
      </c>
      <c r="D34" t="s">
        <v>52</v>
      </c>
      <c r="E34" t="s">
        <v>18</v>
      </c>
      <c r="F34" t="s">
        <v>106</v>
      </c>
      <c r="G34" t="str">
        <f>"00499943"</f>
        <v>00499943</v>
      </c>
      <c r="H34">
        <v>43.2</v>
      </c>
      <c r="I34">
        <v>10</v>
      </c>
      <c r="L34">
        <v>4</v>
      </c>
      <c r="M34">
        <v>4</v>
      </c>
      <c r="N34">
        <v>4</v>
      </c>
      <c r="O34">
        <v>2</v>
      </c>
      <c r="P34">
        <v>63.2</v>
      </c>
      <c r="Q34">
        <v>77</v>
      </c>
      <c r="R34">
        <v>77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77</v>
      </c>
      <c r="Z34">
        <v>3</v>
      </c>
      <c r="AA34">
        <v>0</v>
      </c>
      <c r="AC34">
        <v>143.19999999999999</v>
      </c>
    </row>
    <row r="35" spans="1:29">
      <c r="A35">
        <v>28</v>
      </c>
      <c r="B35">
        <v>6</v>
      </c>
      <c r="C35" t="s">
        <v>107</v>
      </c>
      <c r="D35" t="s">
        <v>108</v>
      </c>
      <c r="E35" t="s">
        <v>28</v>
      </c>
      <c r="F35" t="s">
        <v>109</v>
      </c>
      <c r="G35" t="str">
        <f>"00149044"</f>
        <v>00149044</v>
      </c>
      <c r="H35">
        <v>36</v>
      </c>
      <c r="I35">
        <v>10</v>
      </c>
      <c r="J35">
        <v>8</v>
      </c>
      <c r="M35">
        <v>8</v>
      </c>
      <c r="N35">
        <v>4</v>
      </c>
      <c r="O35">
        <v>2</v>
      </c>
      <c r="P35">
        <v>60</v>
      </c>
      <c r="Q35">
        <v>80</v>
      </c>
      <c r="R35">
        <v>80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80</v>
      </c>
      <c r="Z35">
        <v>3</v>
      </c>
      <c r="AA35">
        <v>0</v>
      </c>
      <c r="AC35">
        <v>143</v>
      </c>
    </row>
    <row r="36" spans="1:29">
      <c r="A36">
        <v>29</v>
      </c>
      <c r="B36">
        <v>4219</v>
      </c>
      <c r="C36" t="s">
        <v>110</v>
      </c>
      <c r="D36" t="s">
        <v>39</v>
      </c>
      <c r="E36" t="s">
        <v>15</v>
      </c>
      <c r="F36" t="s">
        <v>111</v>
      </c>
      <c r="G36" t="str">
        <f>"00019959"</f>
        <v>00019959</v>
      </c>
      <c r="H36">
        <v>57.6</v>
      </c>
      <c r="I36">
        <v>10</v>
      </c>
      <c r="M36">
        <v>0</v>
      </c>
      <c r="N36">
        <v>4</v>
      </c>
      <c r="O36">
        <v>2</v>
      </c>
      <c r="P36">
        <v>73.599999999999994</v>
      </c>
      <c r="Q36">
        <v>60</v>
      </c>
      <c r="R36">
        <v>60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60</v>
      </c>
      <c r="Z36">
        <v>9</v>
      </c>
      <c r="AA36">
        <v>0</v>
      </c>
      <c r="AC36">
        <v>142.6</v>
      </c>
    </row>
    <row r="37" spans="1:29">
      <c r="A37">
        <v>30</v>
      </c>
      <c r="B37">
        <v>785</v>
      </c>
      <c r="C37" t="s">
        <v>114</v>
      </c>
      <c r="D37" t="s">
        <v>95</v>
      </c>
      <c r="E37" t="s">
        <v>115</v>
      </c>
      <c r="F37" t="s">
        <v>116</v>
      </c>
      <c r="G37" t="str">
        <f>"00441872"</f>
        <v>00441872</v>
      </c>
      <c r="H37">
        <v>21.6</v>
      </c>
      <c r="I37">
        <v>10</v>
      </c>
      <c r="J37">
        <v>8</v>
      </c>
      <c r="M37">
        <v>8</v>
      </c>
      <c r="N37">
        <v>4</v>
      </c>
      <c r="O37">
        <v>2</v>
      </c>
      <c r="P37">
        <v>45.6</v>
      </c>
      <c r="Q37">
        <v>97</v>
      </c>
      <c r="R37">
        <v>97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97</v>
      </c>
      <c r="Z37">
        <v>0</v>
      </c>
      <c r="AA37">
        <v>0</v>
      </c>
      <c r="AC37">
        <v>142.6</v>
      </c>
    </row>
    <row r="38" spans="1:29">
      <c r="A38">
        <v>31</v>
      </c>
      <c r="B38">
        <v>866</v>
      </c>
      <c r="C38" t="s">
        <v>117</v>
      </c>
      <c r="D38" t="s">
        <v>118</v>
      </c>
      <c r="E38" t="s">
        <v>56</v>
      </c>
      <c r="F38" t="s">
        <v>119</v>
      </c>
      <c r="G38" t="str">
        <f>"00001885"</f>
        <v>00001885</v>
      </c>
      <c r="H38">
        <v>50.4</v>
      </c>
      <c r="I38">
        <v>10</v>
      </c>
      <c r="J38">
        <v>8</v>
      </c>
      <c r="M38">
        <v>8</v>
      </c>
      <c r="N38">
        <v>4</v>
      </c>
      <c r="O38">
        <v>2</v>
      </c>
      <c r="P38">
        <v>74.400000000000006</v>
      </c>
      <c r="Q38">
        <v>62</v>
      </c>
      <c r="R38">
        <v>62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62</v>
      </c>
      <c r="Z38">
        <v>6</v>
      </c>
      <c r="AA38">
        <v>0</v>
      </c>
      <c r="AC38">
        <v>142.4</v>
      </c>
    </row>
    <row r="39" spans="1:29">
      <c r="A39">
        <v>32</v>
      </c>
      <c r="B39">
        <v>2861</v>
      </c>
      <c r="C39" t="s">
        <v>120</v>
      </c>
      <c r="D39" t="s">
        <v>121</v>
      </c>
      <c r="E39" t="s">
        <v>122</v>
      </c>
      <c r="F39" t="s">
        <v>123</v>
      </c>
      <c r="G39" t="str">
        <f>"00529747"</f>
        <v>00529747</v>
      </c>
      <c r="H39">
        <v>50.4</v>
      </c>
      <c r="I39">
        <v>10</v>
      </c>
      <c r="J39">
        <v>8</v>
      </c>
      <c r="M39">
        <v>8</v>
      </c>
      <c r="N39">
        <v>4</v>
      </c>
      <c r="O39">
        <v>2</v>
      </c>
      <c r="P39">
        <v>74.400000000000006</v>
      </c>
      <c r="Q39">
        <v>65</v>
      </c>
      <c r="R39">
        <v>65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65</v>
      </c>
      <c r="Z39">
        <v>3</v>
      </c>
      <c r="AA39">
        <v>0</v>
      </c>
      <c r="AC39">
        <v>142.4</v>
      </c>
    </row>
    <row r="40" spans="1:29">
      <c r="A40">
        <v>33</v>
      </c>
      <c r="B40">
        <v>2185</v>
      </c>
      <c r="C40" t="s">
        <v>125</v>
      </c>
      <c r="D40" t="s">
        <v>126</v>
      </c>
      <c r="E40" t="s">
        <v>15</v>
      </c>
      <c r="F40" t="s">
        <v>127</v>
      </c>
      <c r="G40" t="str">
        <f>"200802009174"</f>
        <v>200802009174</v>
      </c>
      <c r="H40">
        <v>57.6</v>
      </c>
      <c r="I40">
        <v>10</v>
      </c>
      <c r="J40">
        <v>8</v>
      </c>
      <c r="L40">
        <v>4</v>
      </c>
      <c r="M40">
        <v>12</v>
      </c>
      <c r="N40">
        <v>4</v>
      </c>
      <c r="O40">
        <v>2</v>
      </c>
      <c r="P40">
        <v>85.6</v>
      </c>
      <c r="Q40">
        <v>53</v>
      </c>
      <c r="R40">
        <v>53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53</v>
      </c>
      <c r="Z40">
        <v>3</v>
      </c>
      <c r="AA40">
        <v>0</v>
      </c>
      <c r="AB40" t="s">
        <v>128</v>
      </c>
      <c r="AC40">
        <v>141.6</v>
      </c>
    </row>
    <row r="41" spans="1:29">
      <c r="A41">
        <v>34</v>
      </c>
      <c r="B41">
        <v>1572</v>
      </c>
      <c r="C41" t="s">
        <v>129</v>
      </c>
      <c r="D41" t="s">
        <v>130</v>
      </c>
      <c r="E41" t="s">
        <v>89</v>
      </c>
      <c r="F41" t="s">
        <v>131</v>
      </c>
      <c r="G41" t="str">
        <f>"00481417"</f>
        <v>00481417</v>
      </c>
      <c r="H41">
        <v>43.2</v>
      </c>
      <c r="I41">
        <v>10</v>
      </c>
      <c r="L41">
        <v>4</v>
      </c>
      <c r="M41">
        <v>4</v>
      </c>
      <c r="N41">
        <v>4</v>
      </c>
      <c r="O41">
        <v>2</v>
      </c>
      <c r="P41">
        <v>63.2</v>
      </c>
      <c r="Q41">
        <v>78</v>
      </c>
      <c r="R41">
        <v>78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78</v>
      </c>
      <c r="Z41">
        <v>0</v>
      </c>
      <c r="AA41">
        <v>0</v>
      </c>
      <c r="AC41">
        <v>141.19999999999999</v>
      </c>
    </row>
    <row r="42" spans="1:29">
      <c r="A42">
        <v>35</v>
      </c>
      <c r="B42">
        <v>3766</v>
      </c>
      <c r="C42" t="s">
        <v>132</v>
      </c>
      <c r="D42" t="s">
        <v>133</v>
      </c>
      <c r="E42" t="s">
        <v>134</v>
      </c>
      <c r="F42" t="s">
        <v>135</v>
      </c>
      <c r="G42" t="str">
        <f>"00513973"</f>
        <v>00513973</v>
      </c>
      <c r="H42">
        <v>36</v>
      </c>
      <c r="I42">
        <v>10</v>
      </c>
      <c r="L42">
        <v>4</v>
      </c>
      <c r="M42">
        <v>4</v>
      </c>
      <c r="N42">
        <v>4</v>
      </c>
      <c r="O42">
        <v>2</v>
      </c>
      <c r="P42">
        <v>56</v>
      </c>
      <c r="Q42">
        <v>79</v>
      </c>
      <c r="R42">
        <v>79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79</v>
      </c>
      <c r="Z42">
        <v>6</v>
      </c>
      <c r="AA42">
        <v>0</v>
      </c>
      <c r="AC42">
        <v>141</v>
      </c>
    </row>
    <row r="43" spans="1:29">
      <c r="A43">
        <v>36</v>
      </c>
      <c r="B43">
        <v>3686</v>
      </c>
      <c r="C43" t="s">
        <v>136</v>
      </c>
      <c r="D43" t="s">
        <v>137</v>
      </c>
      <c r="E43" t="s">
        <v>138</v>
      </c>
      <c r="F43" t="s">
        <v>139</v>
      </c>
      <c r="G43" t="str">
        <f>"200911000237"</f>
        <v>200911000237</v>
      </c>
      <c r="H43">
        <v>28</v>
      </c>
      <c r="I43">
        <v>0</v>
      </c>
      <c r="J43">
        <v>8</v>
      </c>
      <c r="M43">
        <v>8</v>
      </c>
      <c r="N43">
        <v>4</v>
      </c>
      <c r="O43">
        <v>2</v>
      </c>
      <c r="P43">
        <v>42</v>
      </c>
      <c r="Q43">
        <v>93</v>
      </c>
      <c r="R43">
        <v>93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93</v>
      </c>
      <c r="Z43">
        <v>6</v>
      </c>
      <c r="AA43">
        <v>0</v>
      </c>
      <c r="AC43">
        <v>141</v>
      </c>
    </row>
    <row r="44" spans="1:29">
      <c r="A44">
        <v>37</v>
      </c>
      <c r="B44">
        <v>2480</v>
      </c>
      <c r="C44" t="s">
        <v>140</v>
      </c>
      <c r="D44" t="s">
        <v>141</v>
      </c>
      <c r="E44" t="s">
        <v>18</v>
      </c>
      <c r="F44" t="s">
        <v>142</v>
      </c>
      <c r="G44" t="str">
        <f>"00505665"</f>
        <v>00505665</v>
      </c>
      <c r="H44">
        <v>72</v>
      </c>
      <c r="I44">
        <v>0</v>
      </c>
      <c r="L44">
        <v>4</v>
      </c>
      <c r="M44">
        <v>4</v>
      </c>
      <c r="N44">
        <v>4</v>
      </c>
      <c r="O44">
        <v>0</v>
      </c>
      <c r="P44">
        <v>80</v>
      </c>
      <c r="Q44">
        <v>61</v>
      </c>
      <c r="R44">
        <v>61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61</v>
      </c>
      <c r="Z44">
        <v>0</v>
      </c>
      <c r="AA44">
        <v>0</v>
      </c>
      <c r="AC44">
        <v>141</v>
      </c>
    </row>
    <row r="45" spans="1:29">
      <c r="A45">
        <v>38</v>
      </c>
      <c r="B45">
        <v>1818</v>
      </c>
      <c r="C45" t="s">
        <v>143</v>
      </c>
      <c r="D45" t="s">
        <v>86</v>
      </c>
      <c r="E45" t="s">
        <v>134</v>
      </c>
      <c r="F45" t="s">
        <v>144</v>
      </c>
      <c r="G45" t="str">
        <f>"00518762"</f>
        <v>00518762</v>
      </c>
      <c r="H45">
        <v>28.8</v>
      </c>
      <c r="I45">
        <v>0</v>
      </c>
      <c r="J45">
        <v>8</v>
      </c>
      <c r="M45">
        <v>8</v>
      </c>
      <c r="N45">
        <v>4</v>
      </c>
      <c r="O45">
        <v>2</v>
      </c>
      <c r="P45">
        <v>42.8</v>
      </c>
      <c r="Q45">
        <v>95</v>
      </c>
      <c r="R45">
        <v>95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95</v>
      </c>
      <c r="Z45">
        <v>3</v>
      </c>
      <c r="AA45">
        <v>0</v>
      </c>
      <c r="AC45">
        <v>140.80000000000001</v>
      </c>
    </row>
    <row r="46" spans="1:29">
      <c r="A46">
        <v>39</v>
      </c>
      <c r="B46">
        <v>3229</v>
      </c>
      <c r="C46" t="s">
        <v>146</v>
      </c>
      <c r="D46" t="s">
        <v>147</v>
      </c>
      <c r="E46" t="s">
        <v>148</v>
      </c>
      <c r="F46" t="s">
        <v>149</v>
      </c>
      <c r="G46" t="str">
        <f>"00514450"</f>
        <v>00514450</v>
      </c>
      <c r="H46">
        <v>50.4</v>
      </c>
      <c r="I46">
        <v>0</v>
      </c>
      <c r="M46">
        <v>0</v>
      </c>
      <c r="N46">
        <v>4</v>
      </c>
      <c r="O46">
        <v>2</v>
      </c>
      <c r="P46">
        <v>56.4</v>
      </c>
      <c r="Q46">
        <v>52</v>
      </c>
      <c r="R46">
        <v>52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52</v>
      </c>
      <c r="Z46">
        <v>0</v>
      </c>
      <c r="AA46">
        <v>32</v>
      </c>
      <c r="AC46">
        <v>140.4</v>
      </c>
    </row>
    <row r="47" spans="1:29">
      <c r="A47">
        <v>40</v>
      </c>
      <c r="B47">
        <v>1615</v>
      </c>
      <c r="C47" t="s">
        <v>150</v>
      </c>
      <c r="D47" t="s">
        <v>108</v>
      </c>
      <c r="E47" t="s">
        <v>66</v>
      </c>
      <c r="F47" t="s">
        <v>151</v>
      </c>
      <c r="G47" t="str">
        <f>"201511019548"</f>
        <v>201511019548</v>
      </c>
      <c r="H47">
        <v>43.2</v>
      </c>
      <c r="I47">
        <v>0</v>
      </c>
      <c r="M47">
        <v>0</v>
      </c>
      <c r="N47">
        <v>4</v>
      </c>
      <c r="O47">
        <v>2</v>
      </c>
      <c r="P47">
        <v>49.2</v>
      </c>
      <c r="Q47">
        <v>85</v>
      </c>
      <c r="R47">
        <v>85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85</v>
      </c>
      <c r="Z47">
        <v>6</v>
      </c>
      <c r="AA47">
        <v>0</v>
      </c>
      <c r="AC47">
        <v>140.19999999999999</v>
      </c>
    </row>
    <row r="48" spans="1:29">
      <c r="A48">
        <v>41</v>
      </c>
      <c r="B48">
        <v>3679</v>
      </c>
      <c r="C48" t="s">
        <v>152</v>
      </c>
      <c r="D48" t="s">
        <v>39</v>
      </c>
      <c r="E48" t="s">
        <v>36</v>
      </c>
      <c r="F48" t="s">
        <v>153</v>
      </c>
      <c r="G48" t="str">
        <f>"00525078"</f>
        <v>00525078</v>
      </c>
      <c r="H48">
        <v>72</v>
      </c>
      <c r="I48">
        <v>0</v>
      </c>
      <c r="J48">
        <v>8</v>
      </c>
      <c r="M48">
        <v>8</v>
      </c>
      <c r="N48">
        <v>4</v>
      </c>
      <c r="O48">
        <v>0</v>
      </c>
      <c r="P48">
        <v>84</v>
      </c>
      <c r="Q48">
        <v>56</v>
      </c>
      <c r="R48">
        <v>56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56</v>
      </c>
      <c r="Z48">
        <v>0</v>
      </c>
      <c r="AA48">
        <v>0</v>
      </c>
      <c r="AC48">
        <v>140</v>
      </c>
    </row>
    <row r="49" spans="1:29">
      <c r="A49">
        <v>42</v>
      </c>
      <c r="B49">
        <v>1745</v>
      </c>
      <c r="C49" t="s">
        <v>154</v>
      </c>
      <c r="D49" t="s">
        <v>155</v>
      </c>
      <c r="E49" t="s">
        <v>156</v>
      </c>
      <c r="F49" t="s">
        <v>157</v>
      </c>
      <c r="G49" t="str">
        <f>"00503152"</f>
        <v>00503152</v>
      </c>
      <c r="H49">
        <v>31.56</v>
      </c>
      <c r="I49">
        <v>0</v>
      </c>
      <c r="J49">
        <v>8</v>
      </c>
      <c r="M49">
        <v>8</v>
      </c>
      <c r="N49">
        <v>4</v>
      </c>
      <c r="O49">
        <v>2</v>
      </c>
      <c r="P49">
        <v>45.56</v>
      </c>
      <c r="Q49">
        <v>91</v>
      </c>
      <c r="R49">
        <v>91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91</v>
      </c>
      <c r="Z49">
        <v>3</v>
      </c>
      <c r="AA49">
        <v>0</v>
      </c>
      <c r="AC49">
        <v>139.56</v>
      </c>
    </row>
    <row r="50" spans="1:29">
      <c r="A50">
        <v>43</v>
      </c>
      <c r="B50">
        <v>30</v>
      </c>
      <c r="C50" t="s">
        <v>158</v>
      </c>
      <c r="D50" t="s">
        <v>159</v>
      </c>
      <c r="E50" t="s">
        <v>134</v>
      </c>
      <c r="F50" t="s">
        <v>160</v>
      </c>
      <c r="G50" t="str">
        <f>"00153639"</f>
        <v>00153639</v>
      </c>
      <c r="H50">
        <v>50.4</v>
      </c>
      <c r="I50">
        <v>10</v>
      </c>
      <c r="J50">
        <v>8</v>
      </c>
      <c r="M50">
        <v>8</v>
      </c>
      <c r="N50">
        <v>4</v>
      </c>
      <c r="O50">
        <v>2</v>
      </c>
      <c r="P50">
        <v>74.400000000000006</v>
      </c>
      <c r="Q50">
        <v>65</v>
      </c>
      <c r="R50">
        <v>65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65</v>
      </c>
      <c r="Z50">
        <v>0</v>
      </c>
      <c r="AA50">
        <v>0</v>
      </c>
      <c r="AC50">
        <v>139.4</v>
      </c>
    </row>
    <row r="51" spans="1:29">
      <c r="A51">
        <v>44</v>
      </c>
      <c r="B51">
        <v>1569</v>
      </c>
      <c r="C51" t="s">
        <v>161</v>
      </c>
      <c r="D51" t="s">
        <v>31</v>
      </c>
      <c r="E51" t="s">
        <v>115</v>
      </c>
      <c r="F51" t="s">
        <v>162</v>
      </c>
      <c r="G51" t="str">
        <f>"00509357"</f>
        <v>00509357</v>
      </c>
      <c r="H51">
        <v>43.2</v>
      </c>
      <c r="I51">
        <v>10</v>
      </c>
      <c r="L51">
        <v>4</v>
      </c>
      <c r="M51">
        <v>4</v>
      </c>
      <c r="N51">
        <v>0</v>
      </c>
      <c r="O51">
        <v>0</v>
      </c>
      <c r="P51">
        <v>57.2</v>
      </c>
      <c r="Q51">
        <v>55</v>
      </c>
      <c r="R51">
        <v>55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55</v>
      </c>
      <c r="Z51">
        <v>0</v>
      </c>
      <c r="AA51">
        <v>26.8</v>
      </c>
      <c r="AC51">
        <v>139</v>
      </c>
    </row>
    <row r="52" spans="1:29">
      <c r="A52">
        <v>45</v>
      </c>
      <c r="B52">
        <v>1891</v>
      </c>
      <c r="C52" t="s">
        <v>163</v>
      </c>
      <c r="D52" t="s">
        <v>164</v>
      </c>
      <c r="E52" t="s">
        <v>165</v>
      </c>
      <c r="F52" t="s">
        <v>166</v>
      </c>
      <c r="G52" t="str">
        <f>"00524974"</f>
        <v>00524974</v>
      </c>
      <c r="H52">
        <v>36</v>
      </c>
      <c r="I52">
        <v>10</v>
      </c>
      <c r="L52">
        <v>4</v>
      </c>
      <c r="M52">
        <v>4</v>
      </c>
      <c r="N52">
        <v>4</v>
      </c>
      <c r="O52">
        <v>2</v>
      </c>
      <c r="P52">
        <v>56</v>
      </c>
      <c r="Q52">
        <v>77</v>
      </c>
      <c r="R52">
        <v>77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77</v>
      </c>
      <c r="Z52">
        <v>6</v>
      </c>
      <c r="AA52">
        <v>0</v>
      </c>
      <c r="AC52">
        <v>139</v>
      </c>
    </row>
    <row r="53" spans="1:29">
      <c r="A53">
        <v>46</v>
      </c>
      <c r="B53">
        <v>452</v>
      </c>
      <c r="C53" t="s">
        <v>169</v>
      </c>
      <c r="D53" t="s">
        <v>170</v>
      </c>
      <c r="E53" t="s">
        <v>89</v>
      </c>
      <c r="F53" t="s">
        <v>171</v>
      </c>
      <c r="G53" t="str">
        <f>"00497322"</f>
        <v>00497322</v>
      </c>
      <c r="H53">
        <v>57.6</v>
      </c>
      <c r="I53">
        <v>10</v>
      </c>
      <c r="M53">
        <v>0</v>
      </c>
      <c r="N53">
        <v>4</v>
      </c>
      <c r="O53">
        <v>2</v>
      </c>
      <c r="P53">
        <v>73.599999999999994</v>
      </c>
      <c r="Q53">
        <v>62</v>
      </c>
      <c r="R53">
        <v>62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62</v>
      </c>
      <c r="Z53">
        <v>3</v>
      </c>
      <c r="AA53">
        <v>0</v>
      </c>
      <c r="AC53">
        <v>138.6</v>
      </c>
    </row>
    <row r="54" spans="1:29">
      <c r="A54">
        <v>47</v>
      </c>
      <c r="B54">
        <v>3832</v>
      </c>
      <c r="C54" t="s">
        <v>172</v>
      </c>
      <c r="D54" t="s">
        <v>52</v>
      </c>
      <c r="E54" t="s">
        <v>134</v>
      </c>
      <c r="F54" t="s">
        <v>173</v>
      </c>
      <c r="G54" t="str">
        <f>"00531736"</f>
        <v>00531736</v>
      </c>
      <c r="H54">
        <v>22.4</v>
      </c>
      <c r="I54">
        <v>10</v>
      </c>
      <c r="M54">
        <v>0</v>
      </c>
      <c r="N54">
        <v>4</v>
      </c>
      <c r="O54">
        <v>0</v>
      </c>
      <c r="P54">
        <v>36.4</v>
      </c>
      <c r="Q54">
        <v>64</v>
      </c>
      <c r="R54">
        <v>64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64</v>
      </c>
      <c r="Z54">
        <v>6</v>
      </c>
      <c r="AA54">
        <v>32</v>
      </c>
      <c r="AC54">
        <v>138.4</v>
      </c>
    </row>
    <row r="55" spans="1:29">
      <c r="A55">
        <v>48</v>
      </c>
      <c r="B55">
        <v>2499</v>
      </c>
      <c r="C55" t="s">
        <v>174</v>
      </c>
      <c r="D55" t="s">
        <v>175</v>
      </c>
      <c r="E55" t="s">
        <v>176</v>
      </c>
      <c r="F55" t="s">
        <v>177</v>
      </c>
      <c r="G55" t="str">
        <f>"00514563"</f>
        <v>00514563</v>
      </c>
      <c r="H55">
        <v>43.2</v>
      </c>
      <c r="I55">
        <v>0</v>
      </c>
      <c r="M55">
        <v>0</v>
      </c>
      <c r="N55">
        <v>4</v>
      </c>
      <c r="O55">
        <v>0</v>
      </c>
      <c r="P55">
        <v>47.2</v>
      </c>
      <c r="Q55">
        <v>85</v>
      </c>
      <c r="R55">
        <v>85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85</v>
      </c>
      <c r="Z55">
        <v>6</v>
      </c>
      <c r="AA55">
        <v>0</v>
      </c>
      <c r="AC55">
        <v>138.19999999999999</v>
      </c>
    </row>
    <row r="56" spans="1:29">
      <c r="A56">
        <v>49</v>
      </c>
      <c r="B56">
        <v>103</v>
      </c>
      <c r="C56" t="s">
        <v>180</v>
      </c>
      <c r="D56" t="s">
        <v>175</v>
      </c>
      <c r="E56" t="s">
        <v>36</v>
      </c>
      <c r="F56" t="s">
        <v>181</v>
      </c>
      <c r="G56" t="str">
        <f>"00483712"</f>
        <v>00483712</v>
      </c>
      <c r="H56">
        <v>35.119999999999997</v>
      </c>
      <c r="I56">
        <v>0</v>
      </c>
      <c r="M56">
        <v>0</v>
      </c>
      <c r="N56">
        <v>0</v>
      </c>
      <c r="O56">
        <v>0</v>
      </c>
      <c r="P56">
        <v>35.119999999999997</v>
      </c>
      <c r="Q56">
        <v>97</v>
      </c>
      <c r="R56">
        <v>97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97</v>
      </c>
      <c r="Z56">
        <v>6</v>
      </c>
      <c r="AA56">
        <v>0</v>
      </c>
      <c r="AC56">
        <v>138.12</v>
      </c>
    </row>
    <row r="57" spans="1:29">
      <c r="A57">
        <v>50</v>
      </c>
      <c r="B57">
        <v>2110</v>
      </c>
      <c r="C57" t="s">
        <v>182</v>
      </c>
      <c r="D57" t="s">
        <v>52</v>
      </c>
      <c r="E57" t="s">
        <v>36</v>
      </c>
      <c r="F57" t="s">
        <v>183</v>
      </c>
      <c r="G57" t="str">
        <f>"00532553"</f>
        <v>00532553</v>
      </c>
      <c r="H57">
        <v>36</v>
      </c>
      <c r="I57">
        <v>0</v>
      </c>
      <c r="M57">
        <v>0</v>
      </c>
      <c r="N57">
        <v>4</v>
      </c>
      <c r="O57">
        <v>0</v>
      </c>
      <c r="P57">
        <v>40</v>
      </c>
      <c r="Q57">
        <v>98</v>
      </c>
      <c r="R57">
        <v>98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98</v>
      </c>
      <c r="Z57">
        <v>0</v>
      </c>
      <c r="AA57">
        <v>0</v>
      </c>
      <c r="AC57">
        <v>138</v>
      </c>
    </row>
    <row r="58" spans="1:29">
      <c r="A58">
        <v>51</v>
      </c>
      <c r="B58">
        <v>2156</v>
      </c>
      <c r="C58" t="s">
        <v>184</v>
      </c>
      <c r="D58" t="s">
        <v>185</v>
      </c>
      <c r="E58" t="s">
        <v>122</v>
      </c>
      <c r="F58" t="s">
        <v>186</v>
      </c>
      <c r="G58" t="str">
        <f>"00531941"</f>
        <v>00531941</v>
      </c>
      <c r="H58">
        <v>28.8</v>
      </c>
      <c r="I58">
        <v>10</v>
      </c>
      <c r="J58">
        <v>8</v>
      </c>
      <c r="M58">
        <v>8</v>
      </c>
      <c r="N58">
        <v>4</v>
      </c>
      <c r="O58">
        <v>2</v>
      </c>
      <c r="P58">
        <v>52.8</v>
      </c>
      <c r="Q58">
        <v>76</v>
      </c>
      <c r="R58">
        <v>76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76</v>
      </c>
      <c r="Z58">
        <v>9</v>
      </c>
      <c r="AA58">
        <v>0</v>
      </c>
      <c r="AC58">
        <v>137.80000000000001</v>
      </c>
    </row>
    <row r="59" spans="1:29">
      <c r="A59">
        <v>52</v>
      </c>
      <c r="B59">
        <v>3644</v>
      </c>
      <c r="C59" t="s">
        <v>91</v>
      </c>
      <c r="D59" t="s">
        <v>20</v>
      </c>
      <c r="E59" t="s">
        <v>187</v>
      </c>
      <c r="F59" t="s">
        <v>188</v>
      </c>
      <c r="G59" t="str">
        <f>"00442176"</f>
        <v>00442176</v>
      </c>
      <c r="H59">
        <v>64.8</v>
      </c>
      <c r="I59">
        <v>10</v>
      </c>
      <c r="J59">
        <v>8</v>
      </c>
      <c r="M59">
        <v>8</v>
      </c>
      <c r="N59">
        <v>4</v>
      </c>
      <c r="O59">
        <v>2</v>
      </c>
      <c r="P59">
        <v>88.8</v>
      </c>
      <c r="Q59">
        <v>46</v>
      </c>
      <c r="R59">
        <v>46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46</v>
      </c>
      <c r="Z59">
        <v>3</v>
      </c>
      <c r="AA59">
        <v>0</v>
      </c>
      <c r="AC59">
        <v>137.80000000000001</v>
      </c>
    </row>
    <row r="60" spans="1:29">
      <c r="A60">
        <v>53</v>
      </c>
      <c r="B60">
        <v>2763</v>
      </c>
      <c r="C60" t="s">
        <v>189</v>
      </c>
      <c r="D60" t="s">
        <v>27</v>
      </c>
      <c r="E60" t="s">
        <v>190</v>
      </c>
      <c r="F60" t="s">
        <v>191</v>
      </c>
      <c r="G60" t="str">
        <f>"00531211"</f>
        <v>00531211</v>
      </c>
      <c r="H60">
        <v>57.6</v>
      </c>
      <c r="I60">
        <v>10</v>
      </c>
      <c r="M60">
        <v>0</v>
      </c>
      <c r="N60">
        <v>4</v>
      </c>
      <c r="O60">
        <v>2</v>
      </c>
      <c r="P60">
        <v>73.599999999999994</v>
      </c>
      <c r="Q60">
        <v>38</v>
      </c>
      <c r="R60">
        <v>38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38</v>
      </c>
      <c r="Z60">
        <v>6</v>
      </c>
      <c r="AA60">
        <v>20</v>
      </c>
      <c r="AC60">
        <v>137.6</v>
      </c>
    </row>
    <row r="61" spans="1:29">
      <c r="A61">
        <v>54</v>
      </c>
      <c r="B61">
        <v>1101</v>
      </c>
      <c r="C61" t="s">
        <v>192</v>
      </c>
      <c r="D61" t="s">
        <v>193</v>
      </c>
      <c r="E61" t="s">
        <v>66</v>
      </c>
      <c r="F61" t="s">
        <v>194</v>
      </c>
      <c r="G61" t="str">
        <f>"00501836"</f>
        <v>00501836</v>
      </c>
      <c r="H61">
        <v>57.6</v>
      </c>
      <c r="I61">
        <v>10</v>
      </c>
      <c r="L61">
        <v>4</v>
      </c>
      <c r="M61">
        <v>4</v>
      </c>
      <c r="N61">
        <v>4</v>
      </c>
      <c r="O61">
        <v>2</v>
      </c>
      <c r="P61">
        <v>77.599999999999994</v>
      </c>
      <c r="Q61">
        <v>60</v>
      </c>
      <c r="R61">
        <v>60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60</v>
      </c>
      <c r="Z61">
        <v>0</v>
      </c>
      <c r="AA61">
        <v>0</v>
      </c>
      <c r="AC61">
        <v>137.6</v>
      </c>
    </row>
    <row r="62" spans="1:29">
      <c r="A62">
        <v>55</v>
      </c>
      <c r="B62">
        <v>548</v>
      </c>
      <c r="C62" t="s">
        <v>195</v>
      </c>
      <c r="D62" t="s">
        <v>196</v>
      </c>
      <c r="E62" t="s">
        <v>115</v>
      </c>
      <c r="F62" t="s">
        <v>197</v>
      </c>
      <c r="G62" t="str">
        <f>"00524947"</f>
        <v>00524947</v>
      </c>
      <c r="H62">
        <v>57.6</v>
      </c>
      <c r="I62">
        <v>10</v>
      </c>
      <c r="L62">
        <v>4</v>
      </c>
      <c r="M62">
        <v>4</v>
      </c>
      <c r="N62">
        <v>4</v>
      </c>
      <c r="O62">
        <v>0</v>
      </c>
      <c r="P62">
        <v>75.599999999999994</v>
      </c>
      <c r="Q62">
        <v>62</v>
      </c>
      <c r="R62">
        <v>62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62</v>
      </c>
      <c r="Z62">
        <v>0</v>
      </c>
      <c r="AA62">
        <v>0</v>
      </c>
      <c r="AC62">
        <v>137.6</v>
      </c>
    </row>
    <row r="63" spans="1:29">
      <c r="A63">
        <v>56</v>
      </c>
      <c r="B63">
        <v>3116</v>
      </c>
      <c r="C63" t="s">
        <v>198</v>
      </c>
      <c r="D63" t="s">
        <v>52</v>
      </c>
      <c r="E63" t="s">
        <v>15</v>
      </c>
      <c r="F63" t="s">
        <v>199</v>
      </c>
      <c r="G63" t="str">
        <f>"00507470"</f>
        <v>00507470</v>
      </c>
      <c r="H63">
        <v>14.4</v>
      </c>
      <c r="I63">
        <v>0</v>
      </c>
      <c r="L63">
        <v>4</v>
      </c>
      <c r="M63">
        <v>4</v>
      </c>
      <c r="N63">
        <v>4</v>
      </c>
      <c r="O63">
        <v>2</v>
      </c>
      <c r="P63">
        <v>24.4</v>
      </c>
      <c r="Q63">
        <v>107</v>
      </c>
      <c r="R63">
        <v>107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107</v>
      </c>
      <c r="Z63">
        <v>6</v>
      </c>
      <c r="AA63">
        <v>0</v>
      </c>
      <c r="AC63">
        <v>137.4</v>
      </c>
    </row>
    <row r="64" spans="1:29">
      <c r="A64">
        <v>57</v>
      </c>
      <c r="B64">
        <v>1646</v>
      </c>
      <c r="C64" t="s">
        <v>200</v>
      </c>
      <c r="D64" t="s">
        <v>159</v>
      </c>
      <c r="E64" t="s">
        <v>36</v>
      </c>
      <c r="F64" t="s">
        <v>201</v>
      </c>
      <c r="G64" t="str">
        <f>"00156803"</f>
        <v>00156803</v>
      </c>
      <c r="H64">
        <v>14.4</v>
      </c>
      <c r="I64">
        <v>10</v>
      </c>
      <c r="J64">
        <v>8</v>
      </c>
      <c r="M64">
        <v>8</v>
      </c>
      <c r="N64">
        <v>4</v>
      </c>
      <c r="O64">
        <v>0</v>
      </c>
      <c r="P64">
        <v>36.4</v>
      </c>
      <c r="Q64">
        <v>98</v>
      </c>
      <c r="R64">
        <v>98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98</v>
      </c>
      <c r="Z64">
        <v>3</v>
      </c>
      <c r="AA64">
        <v>0</v>
      </c>
      <c r="AC64">
        <v>137.4</v>
      </c>
    </row>
    <row r="65" spans="1:29">
      <c r="A65">
        <v>58</v>
      </c>
      <c r="B65">
        <v>1383</v>
      </c>
      <c r="C65" t="s">
        <v>202</v>
      </c>
      <c r="D65" t="s">
        <v>63</v>
      </c>
      <c r="E65" t="s">
        <v>15</v>
      </c>
      <c r="F65" t="s">
        <v>203</v>
      </c>
      <c r="G65" t="str">
        <f>"00162974"</f>
        <v>00162974</v>
      </c>
      <c r="H65">
        <v>38.24</v>
      </c>
      <c r="I65">
        <v>0</v>
      </c>
      <c r="M65">
        <v>0</v>
      </c>
      <c r="N65">
        <v>4</v>
      </c>
      <c r="O65">
        <v>0</v>
      </c>
      <c r="P65">
        <v>42.24</v>
      </c>
      <c r="Q65">
        <v>89</v>
      </c>
      <c r="R65">
        <v>89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89</v>
      </c>
      <c r="Z65">
        <v>6</v>
      </c>
      <c r="AA65">
        <v>0</v>
      </c>
      <c r="AC65">
        <v>137.24</v>
      </c>
    </row>
    <row r="66" spans="1:29">
      <c r="A66">
        <v>59</v>
      </c>
      <c r="B66">
        <v>1950</v>
      </c>
      <c r="C66" t="s">
        <v>204</v>
      </c>
      <c r="D66" t="s">
        <v>205</v>
      </c>
      <c r="E66" t="s">
        <v>15</v>
      </c>
      <c r="F66" t="s">
        <v>206</v>
      </c>
      <c r="G66" t="str">
        <f>"00533000"</f>
        <v>00533000</v>
      </c>
      <c r="H66">
        <v>7.2</v>
      </c>
      <c r="I66">
        <v>0</v>
      </c>
      <c r="M66">
        <v>0</v>
      </c>
      <c r="N66">
        <v>4</v>
      </c>
      <c r="O66">
        <v>0</v>
      </c>
      <c r="P66">
        <v>11.2</v>
      </c>
      <c r="Q66">
        <v>80</v>
      </c>
      <c r="R66">
        <v>80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80</v>
      </c>
      <c r="Z66">
        <v>6</v>
      </c>
      <c r="AA66">
        <v>40</v>
      </c>
      <c r="AC66">
        <v>137.19999999999999</v>
      </c>
    </row>
    <row r="67" spans="1:29">
      <c r="A67">
        <v>60</v>
      </c>
      <c r="B67">
        <v>2803</v>
      </c>
      <c r="C67" t="s">
        <v>207</v>
      </c>
      <c r="D67" t="s">
        <v>27</v>
      </c>
      <c r="E67" t="s">
        <v>28</v>
      </c>
      <c r="F67" t="s">
        <v>208</v>
      </c>
      <c r="G67" t="str">
        <f>"00525314"</f>
        <v>00525314</v>
      </c>
      <c r="H67">
        <v>43.2</v>
      </c>
      <c r="I67">
        <v>10</v>
      </c>
      <c r="L67">
        <v>4</v>
      </c>
      <c r="M67">
        <v>4</v>
      </c>
      <c r="N67">
        <v>4</v>
      </c>
      <c r="O67">
        <v>2</v>
      </c>
      <c r="P67">
        <v>63.2</v>
      </c>
      <c r="Q67">
        <v>68</v>
      </c>
      <c r="R67">
        <v>68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68</v>
      </c>
      <c r="Z67">
        <v>6</v>
      </c>
      <c r="AA67">
        <v>0</v>
      </c>
      <c r="AC67">
        <v>137.19999999999999</v>
      </c>
    </row>
    <row r="68" spans="1:29">
      <c r="A68">
        <v>61</v>
      </c>
      <c r="B68">
        <v>3541</v>
      </c>
      <c r="C68" t="s">
        <v>209</v>
      </c>
      <c r="D68" t="s">
        <v>210</v>
      </c>
      <c r="E68" t="s">
        <v>211</v>
      </c>
      <c r="F68" t="s">
        <v>212</v>
      </c>
      <c r="G68" t="str">
        <f>"200802004952"</f>
        <v>200802004952</v>
      </c>
      <c r="H68">
        <v>72</v>
      </c>
      <c r="I68">
        <v>10</v>
      </c>
      <c r="L68">
        <v>4</v>
      </c>
      <c r="M68">
        <v>4</v>
      </c>
      <c r="N68">
        <v>4</v>
      </c>
      <c r="O68">
        <v>0</v>
      </c>
      <c r="P68">
        <v>90</v>
      </c>
      <c r="Q68">
        <v>38</v>
      </c>
      <c r="R68">
        <v>38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38</v>
      </c>
      <c r="Z68">
        <v>9</v>
      </c>
      <c r="AA68">
        <v>0</v>
      </c>
      <c r="AC68">
        <v>137</v>
      </c>
    </row>
    <row r="69" spans="1:29">
      <c r="A69">
        <v>62</v>
      </c>
      <c r="B69">
        <v>983</v>
      </c>
      <c r="C69" t="s">
        <v>213</v>
      </c>
      <c r="D69" t="s">
        <v>145</v>
      </c>
      <c r="E69" t="s">
        <v>79</v>
      </c>
      <c r="F69" t="s">
        <v>214</v>
      </c>
      <c r="G69" t="str">
        <f>"00441500"</f>
        <v>00441500</v>
      </c>
      <c r="H69">
        <v>36</v>
      </c>
      <c r="I69">
        <v>0</v>
      </c>
      <c r="K69">
        <v>6</v>
      </c>
      <c r="M69">
        <v>6</v>
      </c>
      <c r="N69">
        <v>4</v>
      </c>
      <c r="O69">
        <v>2</v>
      </c>
      <c r="P69">
        <v>48</v>
      </c>
      <c r="Q69">
        <v>89</v>
      </c>
      <c r="R69">
        <v>89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89</v>
      </c>
      <c r="Z69">
        <v>0</v>
      </c>
      <c r="AA69">
        <v>0</v>
      </c>
      <c r="AC69">
        <v>137</v>
      </c>
    </row>
    <row r="70" spans="1:29">
      <c r="A70">
        <v>63</v>
      </c>
      <c r="B70">
        <v>2673</v>
      </c>
      <c r="C70" t="s">
        <v>215</v>
      </c>
      <c r="D70" t="s">
        <v>216</v>
      </c>
      <c r="E70" t="s">
        <v>115</v>
      </c>
      <c r="F70" t="s">
        <v>217</v>
      </c>
      <c r="G70" t="str">
        <f>"00441525"</f>
        <v>00441525</v>
      </c>
      <c r="H70">
        <v>28.8</v>
      </c>
      <c r="I70">
        <v>0</v>
      </c>
      <c r="M70">
        <v>0</v>
      </c>
      <c r="N70">
        <v>4</v>
      </c>
      <c r="O70">
        <v>0</v>
      </c>
      <c r="P70">
        <v>32.799999999999997</v>
      </c>
      <c r="Q70">
        <v>98</v>
      </c>
      <c r="R70">
        <v>98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98</v>
      </c>
      <c r="Z70">
        <v>6</v>
      </c>
      <c r="AA70">
        <v>0</v>
      </c>
      <c r="AC70">
        <v>136.80000000000001</v>
      </c>
    </row>
    <row r="71" spans="1:29">
      <c r="A71">
        <v>64</v>
      </c>
      <c r="B71">
        <v>312</v>
      </c>
      <c r="C71" t="s">
        <v>218</v>
      </c>
      <c r="D71" t="s">
        <v>113</v>
      </c>
      <c r="E71" t="s">
        <v>219</v>
      </c>
      <c r="F71" t="s">
        <v>220</v>
      </c>
      <c r="G71" t="str">
        <f>"00480060"</f>
        <v>00480060</v>
      </c>
      <c r="H71">
        <v>64.8</v>
      </c>
      <c r="I71">
        <v>0</v>
      </c>
      <c r="L71">
        <v>4</v>
      </c>
      <c r="M71">
        <v>4</v>
      </c>
      <c r="N71">
        <v>4</v>
      </c>
      <c r="O71">
        <v>2</v>
      </c>
      <c r="P71">
        <v>74.8</v>
      </c>
      <c r="Q71">
        <v>62</v>
      </c>
      <c r="R71">
        <v>62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62</v>
      </c>
      <c r="Z71">
        <v>0</v>
      </c>
      <c r="AA71">
        <v>0</v>
      </c>
      <c r="AC71">
        <v>136.80000000000001</v>
      </c>
    </row>
    <row r="72" spans="1:29">
      <c r="A72">
        <v>65</v>
      </c>
      <c r="B72">
        <v>1243</v>
      </c>
      <c r="C72" t="s">
        <v>221</v>
      </c>
      <c r="D72" t="s">
        <v>98</v>
      </c>
      <c r="E72" t="s">
        <v>36</v>
      </c>
      <c r="F72" t="s">
        <v>222</v>
      </c>
      <c r="G72" t="str">
        <f>"00508303"</f>
        <v>00508303</v>
      </c>
      <c r="H72">
        <v>57.6</v>
      </c>
      <c r="I72">
        <v>0</v>
      </c>
      <c r="M72">
        <v>0</v>
      </c>
      <c r="N72">
        <v>4</v>
      </c>
      <c r="O72">
        <v>2</v>
      </c>
      <c r="P72">
        <v>63.6</v>
      </c>
      <c r="Q72">
        <v>70</v>
      </c>
      <c r="R72">
        <v>70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70</v>
      </c>
      <c r="Z72">
        <v>3</v>
      </c>
      <c r="AA72">
        <v>0</v>
      </c>
      <c r="AC72">
        <v>136.6</v>
      </c>
    </row>
    <row r="73" spans="1:29">
      <c r="A73">
        <v>66</v>
      </c>
      <c r="B73">
        <v>3983</v>
      </c>
      <c r="C73" t="s">
        <v>223</v>
      </c>
      <c r="D73" t="s">
        <v>20</v>
      </c>
      <c r="E73" t="s">
        <v>224</v>
      </c>
      <c r="F73" t="s">
        <v>225</v>
      </c>
      <c r="G73" t="str">
        <f>"00475394"</f>
        <v>00475394</v>
      </c>
      <c r="H73">
        <v>50.4</v>
      </c>
      <c r="I73">
        <v>0</v>
      </c>
      <c r="L73">
        <v>8</v>
      </c>
      <c r="M73">
        <v>8</v>
      </c>
      <c r="N73">
        <v>4</v>
      </c>
      <c r="O73">
        <v>2</v>
      </c>
      <c r="P73">
        <v>64.400000000000006</v>
      </c>
      <c r="Q73">
        <v>72</v>
      </c>
      <c r="R73">
        <v>72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72</v>
      </c>
      <c r="Z73">
        <v>0</v>
      </c>
      <c r="AA73">
        <v>0</v>
      </c>
      <c r="AC73">
        <v>136.4</v>
      </c>
    </row>
    <row r="74" spans="1:29">
      <c r="A74">
        <v>67</v>
      </c>
      <c r="B74">
        <v>2993</v>
      </c>
      <c r="C74" t="s">
        <v>226</v>
      </c>
      <c r="D74" t="s">
        <v>159</v>
      </c>
      <c r="E74" t="s">
        <v>227</v>
      </c>
      <c r="F74" t="s">
        <v>228</v>
      </c>
      <c r="G74" t="str">
        <f>"00442424"</f>
        <v>00442424</v>
      </c>
      <c r="H74">
        <v>23.28</v>
      </c>
      <c r="I74">
        <v>10</v>
      </c>
      <c r="L74">
        <v>4</v>
      </c>
      <c r="M74">
        <v>4</v>
      </c>
      <c r="N74">
        <v>0</v>
      </c>
      <c r="O74">
        <v>0</v>
      </c>
      <c r="P74">
        <v>37.28</v>
      </c>
      <c r="Q74">
        <v>93</v>
      </c>
      <c r="R74">
        <v>93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93</v>
      </c>
      <c r="Z74">
        <v>6</v>
      </c>
      <c r="AA74">
        <v>0</v>
      </c>
      <c r="AC74">
        <v>136.28</v>
      </c>
    </row>
    <row r="75" spans="1:29">
      <c r="A75">
        <v>68</v>
      </c>
      <c r="B75">
        <v>2339</v>
      </c>
      <c r="C75" t="s">
        <v>229</v>
      </c>
      <c r="D75" t="s">
        <v>137</v>
      </c>
      <c r="E75" t="s">
        <v>156</v>
      </c>
      <c r="F75" t="s">
        <v>230</v>
      </c>
      <c r="G75" t="str">
        <f>"00441905"</f>
        <v>00441905</v>
      </c>
      <c r="H75">
        <v>43.2</v>
      </c>
      <c r="I75">
        <v>10</v>
      </c>
      <c r="L75">
        <v>4</v>
      </c>
      <c r="M75">
        <v>4</v>
      </c>
      <c r="N75">
        <v>4</v>
      </c>
      <c r="O75">
        <v>2</v>
      </c>
      <c r="P75">
        <v>63.2</v>
      </c>
      <c r="Q75">
        <v>70</v>
      </c>
      <c r="R75">
        <v>70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70</v>
      </c>
      <c r="Z75">
        <v>3</v>
      </c>
      <c r="AA75">
        <v>0</v>
      </c>
      <c r="AC75">
        <v>136.19999999999999</v>
      </c>
    </row>
    <row r="76" spans="1:29">
      <c r="A76">
        <v>69</v>
      </c>
      <c r="B76">
        <v>1312</v>
      </c>
      <c r="C76" t="s">
        <v>231</v>
      </c>
      <c r="D76" t="s">
        <v>232</v>
      </c>
      <c r="E76" t="s">
        <v>233</v>
      </c>
      <c r="F76" t="s">
        <v>234</v>
      </c>
      <c r="G76" t="str">
        <f>"00480409"</f>
        <v>00480409</v>
      </c>
      <c r="H76">
        <v>22.84</v>
      </c>
      <c r="I76">
        <v>10</v>
      </c>
      <c r="K76">
        <v>6</v>
      </c>
      <c r="L76">
        <v>4</v>
      </c>
      <c r="M76">
        <v>10</v>
      </c>
      <c r="N76">
        <v>4</v>
      </c>
      <c r="O76">
        <v>2</v>
      </c>
      <c r="P76">
        <v>48.84</v>
      </c>
      <c r="Q76">
        <v>84</v>
      </c>
      <c r="R76">
        <v>84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84</v>
      </c>
      <c r="Z76">
        <v>3</v>
      </c>
      <c r="AA76">
        <v>0</v>
      </c>
      <c r="AC76">
        <v>135.84</v>
      </c>
    </row>
    <row r="77" spans="1:29">
      <c r="A77">
        <v>70</v>
      </c>
      <c r="B77">
        <v>2139</v>
      </c>
      <c r="C77" t="s">
        <v>235</v>
      </c>
      <c r="D77" t="s">
        <v>236</v>
      </c>
      <c r="E77" t="s">
        <v>237</v>
      </c>
      <c r="F77" t="s">
        <v>238</v>
      </c>
      <c r="G77" t="str">
        <f>"00510199"</f>
        <v>00510199</v>
      </c>
      <c r="H77">
        <v>26.56</v>
      </c>
      <c r="I77">
        <v>0</v>
      </c>
      <c r="M77">
        <v>0</v>
      </c>
      <c r="N77">
        <v>0</v>
      </c>
      <c r="O77">
        <v>2</v>
      </c>
      <c r="P77">
        <v>28.56</v>
      </c>
      <c r="Q77">
        <v>98</v>
      </c>
      <c r="R77">
        <v>98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98</v>
      </c>
      <c r="Z77">
        <v>9</v>
      </c>
      <c r="AA77">
        <v>0</v>
      </c>
      <c r="AC77">
        <v>135.56</v>
      </c>
    </row>
    <row r="78" spans="1:29">
      <c r="A78">
        <v>71</v>
      </c>
      <c r="B78">
        <v>191</v>
      </c>
      <c r="C78" t="s">
        <v>239</v>
      </c>
      <c r="D78" t="s">
        <v>52</v>
      </c>
      <c r="E78" t="s">
        <v>36</v>
      </c>
      <c r="F78" t="s">
        <v>240</v>
      </c>
      <c r="G78" t="str">
        <f>"00509000"</f>
        <v>00509000</v>
      </c>
      <c r="H78">
        <v>50.4</v>
      </c>
      <c r="I78">
        <v>10</v>
      </c>
      <c r="L78">
        <v>4</v>
      </c>
      <c r="M78">
        <v>4</v>
      </c>
      <c r="N78">
        <v>4</v>
      </c>
      <c r="O78">
        <v>0</v>
      </c>
      <c r="P78">
        <v>68.400000000000006</v>
      </c>
      <c r="Q78">
        <v>67</v>
      </c>
      <c r="R78">
        <v>67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67</v>
      </c>
      <c r="Z78">
        <v>0</v>
      </c>
      <c r="AA78">
        <v>0</v>
      </c>
      <c r="AC78">
        <v>135.4</v>
      </c>
    </row>
    <row r="79" spans="1:29">
      <c r="A79">
        <v>72</v>
      </c>
      <c r="B79">
        <v>2213</v>
      </c>
      <c r="C79" t="s">
        <v>241</v>
      </c>
      <c r="D79" t="s">
        <v>242</v>
      </c>
      <c r="E79" t="s">
        <v>237</v>
      </c>
      <c r="F79" t="s">
        <v>243</v>
      </c>
      <c r="G79" t="str">
        <f>"00480073"</f>
        <v>00480073</v>
      </c>
      <c r="H79">
        <v>50.4</v>
      </c>
      <c r="I79">
        <v>0</v>
      </c>
      <c r="M79">
        <v>0</v>
      </c>
      <c r="N79">
        <v>4</v>
      </c>
      <c r="O79">
        <v>0</v>
      </c>
      <c r="P79">
        <v>54.4</v>
      </c>
      <c r="Q79">
        <v>81</v>
      </c>
      <c r="R79">
        <v>81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81</v>
      </c>
      <c r="Z79">
        <v>0</v>
      </c>
      <c r="AA79">
        <v>0</v>
      </c>
      <c r="AC79">
        <v>135.4</v>
      </c>
    </row>
    <row r="80" spans="1:29">
      <c r="A80">
        <v>73</v>
      </c>
      <c r="B80">
        <v>444</v>
      </c>
      <c r="C80" t="s">
        <v>244</v>
      </c>
      <c r="D80" t="s">
        <v>27</v>
      </c>
      <c r="E80" t="s">
        <v>245</v>
      </c>
      <c r="F80" t="s">
        <v>246</v>
      </c>
      <c r="G80" t="str">
        <f>"00530675"</f>
        <v>00530675</v>
      </c>
      <c r="H80">
        <v>31.28</v>
      </c>
      <c r="I80">
        <v>0</v>
      </c>
      <c r="M80">
        <v>0</v>
      </c>
      <c r="N80">
        <v>0</v>
      </c>
      <c r="O80">
        <v>0</v>
      </c>
      <c r="P80">
        <v>31.28</v>
      </c>
      <c r="Q80">
        <v>98</v>
      </c>
      <c r="R80">
        <v>98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98</v>
      </c>
      <c r="Z80">
        <v>6</v>
      </c>
      <c r="AA80">
        <v>0</v>
      </c>
      <c r="AC80">
        <v>135.28</v>
      </c>
    </row>
    <row r="81" spans="1:29">
      <c r="A81">
        <v>74</v>
      </c>
      <c r="B81">
        <v>3626</v>
      </c>
      <c r="C81" t="s">
        <v>247</v>
      </c>
      <c r="D81" t="s">
        <v>248</v>
      </c>
      <c r="E81" t="s">
        <v>66</v>
      </c>
      <c r="F81" t="s">
        <v>249</v>
      </c>
      <c r="G81" t="str">
        <f>"00511810"</f>
        <v>00511810</v>
      </c>
      <c r="H81">
        <v>43.2</v>
      </c>
      <c r="I81">
        <v>0</v>
      </c>
      <c r="M81">
        <v>0</v>
      </c>
      <c r="N81">
        <v>4</v>
      </c>
      <c r="O81">
        <v>0</v>
      </c>
      <c r="P81">
        <v>47.2</v>
      </c>
      <c r="Q81">
        <v>82</v>
      </c>
      <c r="R81">
        <v>82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82</v>
      </c>
      <c r="Z81">
        <v>6</v>
      </c>
      <c r="AA81">
        <v>0</v>
      </c>
      <c r="AC81">
        <v>135.19999999999999</v>
      </c>
    </row>
    <row r="82" spans="1:29">
      <c r="A82">
        <v>75</v>
      </c>
      <c r="B82">
        <v>568</v>
      </c>
      <c r="C82" t="s">
        <v>250</v>
      </c>
      <c r="D82" t="s">
        <v>251</v>
      </c>
      <c r="E82" t="s">
        <v>252</v>
      </c>
      <c r="F82" t="s">
        <v>253</v>
      </c>
      <c r="G82" t="str">
        <f>"201409003284"</f>
        <v>201409003284</v>
      </c>
      <c r="H82">
        <v>37.08</v>
      </c>
      <c r="I82">
        <v>0</v>
      </c>
      <c r="L82">
        <v>4</v>
      </c>
      <c r="M82">
        <v>4</v>
      </c>
      <c r="N82">
        <v>4</v>
      </c>
      <c r="O82">
        <v>0</v>
      </c>
      <c r="P82">
        <v>45.08</v>
      </c>
      <c r="Q82">
        <v>84</v>
      </c>
      <c r="R82">
        <v>84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84</v>
      </c>
      <c r="Z82">
        <v>6</v>
      </c>
      <c r="AA82">
        <v>0</v>
      </c>
      <c r="AC82">
        <v>135.08000000000001</v>
      </c>
    </row>
    <row r="83" spans="1:29">
      <c r="A83">
        <v>76</v>
      </c>
      <c r="B83">
        <v>4367</v>
      </c>
      <c r="C83" t="s">
        <v>254</v>
      </c>
      <c r="D83" t="s">
        <v>255</v>
      </c>
      <c r="E83" t="s">
        <v>15</v>
      </c>
      <c r="F83" t="s">
        <v>256</v>
      </c>
      <c r="G83" t="str">
        <f>"00497950"</f>
        <v>00497950</v>
      </c>
      <c r="H83">
        <v>36</v>
      </c>
      <c r="I83">
        <v>10</v>
      </c>
      <c r="J83">
        <v>8</v>
      </c>
      <c r="M83">
        <v>8</v>
      </c>
      <c r="N83">
        <v>4</v>
      </c>
      <c r="O83">
        <v>0</v>
      </c>
      <c r="P83">
        <v>58</v>
      </c>
      <c r="Q83">
        <v>68</v>
      </c>
      <c r="R83">
        <v>68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68</v>
      </c>
      <c r="Z83">
        <v>9</v>
      </c>
      <c r="AA83">
        <v>0</v>
      </c>
      <c r="AC83">
        <v>135</v>
      </c>
    </row>
    <row r="84" spans="1:29">
      <c r="A84">
        <v>77</v>
      </c>
      <c r="B84">
        <v>490</v>
      </c>
      <c r="C84" t="s">
        <v>257</v>
      </c>
      <c r="D84" t="s">
        <v>258</v>
      </c>
      <c r="E84" t="s">
        <v>28</v>
      </c>
      <c r="F84" t="s">
        <v>259</v>
      </c>
      <c r="G84" t="str">
        <f>"00505116"</f>
        <v>00505116</v>
      </c>
      <c r="H84">
        <v>36</v>
      </c>
      <c r="I84">
        <v>10</v>
      </c>
      <c r="J84">
        <v>8</v>
      </c>
      <c r="M84">
        <v>8</v>
      </c>
      <c r="N84">
        <v>4</v>
      </c>
      <c r="O84">
        <v>2</v>
      </c>
      <c r="P84">
        <v>60</v>
      </c>
      <c r="Q84">
        <v>69</v>
      </c>
      <c r="R84">
        <v>69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69</v>
      </c>
      <c r="Z84">
        <v>6</v>
      </c>
      <c r="AA84">
        <v>0</v>
      </c>
      <c r="AC84">
        <v>135</v>
      </c>
    </row>
    <row r="85" spans="1:29">
      <c r="A85">
        <v>78</v>
      </c>
      <c r="B85">
        <v>2472</v>
      </c>
      <c r="C85" t="s">
        <v>260</v>
      </c>
      <c r="D85" t="s">
        <v>261</v>
      </c>
      <c r="E85" t="s">
        <v>66</v>
      </c>
      <c r="F85" t="s">
        <v>262</v>
      </c>
      <c r="G85" t="str">
        <f>"00500407"</f>
        <v>00500407</v>
      </c>
      <c r="H85">
        <v>57.6</v>
      </c>
      <c r="I85">
        <v>0</v>
      </c>
      <c r="K85">
        <v>6</v>
      </c>
      <c r="M85">
        <v>6</v>
      </c>
      <c r="N85">
        <v>4</v>
      </c>
      <c r="O85">
        <v>2</v>
      </c>
      <c r="P85">
        <v>69.599999999999994</v>
      </c>
      <c r="Q85">
        <v>62</v>
      </c>
      <c r="R85">
        <v>62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62</v>
      </c>
      <c r="Z85">
        <v>3</v>
      </c>
      <c r="AA85">
        <v>0</v>
      </c>
      <c r="AC85">
        <v>134.6</v>
      </c>
    </row>
    <row r="86" spans="1:29">
      <c r="A86">
        <v>79</v>
      </c>
      <c r="B86">
        <v>379</v>
      </c>
      <c r="C86" t="s">
        <v>263</v>
      </c>
      <c r="D86" t="s">
        <v>39</v>
      </c>
      <c r="E86" t="s">
        <v>122</v>
      </c>
      <c r="F86" t="s">
        <v>264</v>
      </c>
      <c r="G86" t="str">
        <f>"201406017884"</f>
        <v>201406017884</v>
      </c>
      <c r="H86">
        <v>50.4</v>
      </c>
      <c r="I86">
        <v>10</v>
      </c>
      <c r="J86">
        <v>8</v>
      </c>
      <c r="L86">
        <v>4</v>
      </c>
      <c r="M86">
        <v>12</v>
      </c>
      <c r="N86">
        <v>4</v>
      </c>
      <c r="O86">
        <v>2</v>
      </c>
      <c r="P86">
        <v>78.400000000000006</v>
      </c>
      <c r="Q86">
        <v>47</v>
      </c>
      <c r="R86">
        <v>47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47</v>
      </c>
      <c r="Z86">
        <v>9</v>
      </c>
      <c r="AA86">
        <v>0</v>
      </c>
      <c r="AC86">
        <v>134.4</v>
      </c>
    </row>
    <row r="87" spans="1:29">
      <c r="A87">
        <v>80</v>
      </c>
      <c r="B87">
        <v>1007</v>
      </c>
      <c r="C87" t="s">
        <v>265</v>
      </c>
      <c r="D87" t="s">
        <v>266</v>
      </c>
      <c r="E87" t="s">
        <v>156</v>
      </c>
      <c r="F87" t="s">
        <v>267</v>
      </c>
      <c r="G87" t="str">
        <f>"00523079"</f>
        <v>00523079</v>
      </c>
      <c r="H87">
        <v>43.2</v>
      </c>
      <c r="I87">
        <v>0</v>
      </c>
      <c r="M87">
        <v>0</v>
      </c>
      <c r="N87">
        <v>4</v>
      </c>
      <c r="O87">
        <v>2</v>
      </c>
      <c r="P87">
        <v>49.2</v>
      </c>
      <c r="Q87">
        <v>82</v>
      </c>
      <c r="R87">
        <v>82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82</v>
      </c>
      <c r="Z87">
        <v>3</v>
      </c>
      <c r="AA87">
        <v>0</v>
      </c>
      <c r="AC87">
        <v>134.19999999999999</v>
      </c>
    </row>
    <row r="88" spans="1:29">
      <c r="A88">
        <v>81</v>
      </c>
      <c r="B88">
        <v>4628</v>
      </c>
      <c r="C88" t="s">
        <v>268</v>
      </c>
      <c r="D88" t="s">
        <v>269</v>
      </c>
      <c r="E88" t="s">
        <v>50</v>
      </c>
      <c r="F88" t="s">
        <v>270</v>
      </c>
      <c r="G88" t="str">
        <f>"200712004708"</f>
        <v>200712004708</v>
      </c>
      <c r="H88">
        <v>37.08</v>
      </c>
      <c r="I88">
        <v>10</v>
      </c>
      <c r="L88">
        <v>4</v>
      </c>
      <c r="M88">
        <v>4</v>
      </c>
      <c r="N88">
        <v>4</v>
      </c>
      <c r="O88">
        <v>2</v>
      </c>
      <c r="P88">
        <v>57.08</v>
      </c>
      <c r="Q88">
        <v>77</v>
      </c>
      <c r="R88">
        <v>77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77</v>
      </c>
      <c r="Z88">
        <v>0</v>
      </c>
      <c r="AA88">
        <v>0</v>
      </c>
      <c r="AC88">
        <v>134.08000000000001</v>
      </c>
    </row>
    <row r="89" spans="1:29">
      <c r="A89">
        <v>82</v>
      </c>
      <c r="B89">
        <v>2742</v>
      </c>
      <c r="C89" t="s">
        <v>178</v>
      </c>
      <c r="D89" t="s">
        <v>52</v>
      </c>
      <c r="E89" t="s">
        <v>18</v>
      </c>
      <c r="F89" t="s">
        <v>271</v>
      </c>
      <c r="G89" t="str">
        <f>"201304000531"</f>
        <v>201304000531</v>
      </c>
      <c r="H89">
        <v>36</v>
      </c>
      <c r="I89">
        <v>0</v>
      </c>
      <c r="J89">
        <v>8</v>
      </c>
      <c r="K89">
        <v>6</v>
      </c>
      <c r="M89">
        <v>14</v>
      </c>
      <c r="N89">
        <v>4</v>
      </c>
      <c r="O89">
        <v>2</v>
      </c>
      <c r="P89">
        <v>56</v>
      </c>
      <c r="Q89">
        <v>75</v>
      </c>
      <c r="R89">
        <v>75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75</v>
      </c>
      <c r="Z89">
        <v>3</v>
      </c>
      <c r="AA89">
        <v>0</v>
      </c>
      <c r="AC89">
        <v>134</v>
      </c>
    </row>
    <row r="90" spans="1:29">
      <c r="A90">
        <v>83</v>
      </c>
      <c r="B90">
        <v>668</v>
      </c>
      <c r="C90" t="s">
        <v>272</v>
      </c>
      <c r="D90" t="s">
        <v>273</v>
      </c>
      <c r="E90" t="s">
        <v>28</v>
      </c>
      <c r="F90" t="s">
        <v>274</v>
      </c>
      <c r="G90" t="str">
        <f>"00530800"</f>
        <v>00530800</v>
      </c>
      <c r="H90">
        <v>28.8</v>
      </c>
      <c r="I90">
        <v>10</v>
      </c>
      <c r="M90">
        <v>0</v>
      </c>
      <c r="N90">
        <v>4</v>
      </c>
      <c r="O90">
        <v>2</v>
      </c>
      <c r="P90">
        <v>44.8</v>
      </c>
      <c r="Q90">
        <v>62</v>
      </c>
      <c r="R90">
        <v>62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62</v>
      </c>
      <c r="Z90">
        <v>0</v>
      </c>
      <c r="AA90">
        <v>26.8</v>
      </c>
      <c r="AC90">
        <v>133.6</v>
      </c>
    </row>
    <row r="91" spans="1:29">
      <c r="A91">
        <v>84</v>
      </c>
      <c r="B91">
        <v>1654</v>
      </c>
      <c r="C91" t="s">
        <v>275</v>
      </c>
      <c r="D91" t="s">
        <v>276</v>
      </c>
      <c r="E91" t="s">
        <v>156</v>
      </c>
      <c r="F91" t="s">
        <v>277</v>
      </c>
      <c r="G91" t="str">
        <f>"00534466"</f>
        <v>00534466</v>
      </c>
      <c r="H91">
        <v>57.6</v>
      </c>
      <c r="I91">
        <v>10</v>
      </c>
      <c r="M91">
        <v>0</v>
      </c>
      <c r="N91">
        <v>4</v>
      </c>
      <c r="O91">
        <v>2</v>
      </c>
      <c r="P91">
        <v>73.599999999999994</v>
      </c>
      <c r="Q91">
        <v>60</v>
      </c>
      <c r="R91">
        <v>60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60</v>
      </c>
      <c r="Z91">
        <v>0</v>
      </c>
      <c r="AA91">
        <v>0</v>
      </c>
      <c r="AC91">
        <v>133.6</v>
      </c>
    </row>
    <row r="92" spans="1:29">
      <c r="A92">
        <v>85</v>
      </c>
      <c r="B92">
        <v>2216</v>
      </c>
      <c r="C92" t="s">
        <v>278</v>
      </c>
      <c r="D92" t="s">
        <v>279</v>
      </c>
      <c r="E92" t="s">
        <v>21</v>
      </c>
      <c r="F92" t="s">
        <v>280</v>
      </c>
      <c r="G92" t="str">
        <f>"00531222"</f>
        <v>00531222</v>
      </c>
      <c r="H92">
        <v>35.44</v>
      </c>
      <c r="I92">
        <v>10</v>
      </c>
      <c r="M92">
        <v>0</v>
      </c>
      <c r="N92">
        <v>4</v>
      </c>
      <c r="O92">
        <v>2</v>
      </c>
      <c r="P92">
        <v>51.44</v>
      </c>
      <c r="Q92">
        <v>73</v>
      </c>
      <c r="R92">
        <v>73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73</v>
      </c>
      <c r="Z92">
        <v>9</v>
      </c>
      <c r="AA92">
        <v>0</v>
      </c>
      <c r="AC92">
        <v>133.44</v>
      </c>
    </row>
    <row r="93" spans="1:29">
      <c r="A93">
        <v>86</v>
      </c>
      <c r="B93">
        <v>1447</v>
      </c>
      <c r="C93" t="s">
        <v>281</v>
      </c>
      <c r="D93" t="s">
        <v>282</v>
      </c>
      <c r="E93" t="s">
        <v>15</v>
      </c>
      <c r="F93" t="s">
        <v>283</v>
      </c>
      <c r="G93" t="str">
        <f>"00442279"</f>
        <v>00442279</v>
      </c>
      <c r="H93">
        <v>50.4</v>
      </c>
      <c r="I93">
        <v>0</v>
      </c>
      <c r="J93">
        <v>8</v>
      </c>
      <c r="M93">
        <v>8</v>
      </c>
      <c r="N93">
        <v>4</v>
      </c>
      <c r="O93">
        <v>0</v>
      </c>
      <c r="P93">
        <v>62.4</v>
      </c>
      <c r="Q93">
        <v>62</v>
      </c>
      <c r="R93">
        <v>62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62</v>
      </c>
      <c r="Z93">
        <v>9</v>
      </c>
      <c r="AA93">
        <v>0</v>
      </c>
      <c r="AC93">
        <v>133.4</v>
      </c>
    </row>
    <row r="94" spans="1:29">
      <c r="A94">
        <v>87</v>
      </c>
      <c r="B94">
        <v>214</v>
      </c>
      <c r="C94" t="s">
        <v>284</v>
      </c>
      <c r="D94" t="s">
        <v>285</v>
      </c>
      <c r="E94" t="s">
        <v>18</v>
      </c>
      <c r="F94" t="s">
        <v>286</v>
      </c>
      <c r="G94" t="str">
        <f>"00496756"</f>
        <v>00496756</v>
      </c>
      <c r="H94">
        <v>14.4</v>
      </c>
      <c r="I94">
        <v>0</v>
      </c>
      <c r="M94">
        <v>0</v>
      </c>
      <c r="N94">
        <v>0</v>
      </c>
      <c r="O94">
        <v>0</v>
      </c>
      <c r="P94">
        <v>14.4</v>
      </c>
      <c r="Q94">
        <v>116</v>
      </c>
      <c r="R94">
        <v>116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116</v>
      </c>
      <c r="Z94">
        <v>3</v>
      </c>
      <c r="AA94">
        <v>0</v>
      </c>
      <c r="AC94">
        <v>133.4</v>
      </c>
    </row>
    <row r="95" spans="1:29">
      <c r="A95">
        <v>88</v>
      </c>
      <c r="B95">
        <v>1562</v>
      </c>
      <c r="C95" t="s">
        <v>287</v>
      </c>
      <c r="D95" t="s">
        <v>39</v>
      </c>
      <c r="E95" t="s">
        <v>60</v>
      </c>
      <c r="F95" t="s">
        <v>288</v>
      </c>
      <c r="G95" t="str">
        <f>"00529861"</f>
        <v>00529861</v>
      </c>
      <c r="H95">
        <v>50.4</v>
      </c>
      <c r="I95">
        <v>0</v>
      </c>
      <c r="M95">
        <v>0</v>
      </c>
      <c r="N95">
        <v>4</v>
      </c>
      <c r="O95">
        <v>0</v>
      </c>
      <c r="P95">
        <v>54.4</v>
      </c>
      <c r="Q95">
        <v>79</v>
      </c>
      <c r="R95">
        <v>79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79</v>
      </c>
      <c r="Z95">
        <v>0</v>
      </c>
      <c r="AA95">
        <v>0</v>
      </c>
      <c r="AC95">
        <v>133.4</v>
      </c>
    </row>
    <row r="96" spans="1:29">
      <c r="A96">
        <v>89</v>
      </c>
      <c r="B96">
        <v>3797</v>
      </c>
      <c r="C96" t="s">
        <v>289</v>
      </c>
      <c r="D96" t="s">
        <v>39</v>
      </c>
      <c r="E96" t="s">
        <v>18</v>
      </c>
      <c r="F96" t="s">
        <v>290</v>
      </c>
      <c r="G96" t="str">
        <f>"00504701"</f>
        <v>00504701</v>
      </c>
      <c r="H96">
        <v>43.2</v>
      </c>
      <c r="I96">
        <v>0</v>
      </c>
      <c r="J96">
        <v>8</v>
      </c>
      <c r="M96">
        <v>8</v>
      </c>
      <c r="N96">
        <v>4</v>
      </c>
      <c r="O96">
        <v>2</v>
      </c>
      <c r="P96">
        <v>57.2</v>
      </c>
      <c r="Q96">
        <v>70</v>
      </c>
      <c r="R96">
        <v>70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70</v>
      </c>
      <c r="Z96">
        <v>6</v>
      </c>
      <c r="AA96">
        <v>0</v>
      </c>
      <c r="AC96">
        <v>133.19999999999999</v>
      </c>
    </row>
    <row r="97" spans="1:29">
      <c r="A97">
        <v>90</v>
      </c>
      <c r="B97">
        <v>2875</v>
      </c>
      <c r="C97" t="s">
        <v>291</v>
      </c>
      <c r="D97" t="s">
        <v>39</v>
      </c>
      <c r="E97" t="s">
        <v>292</v>
      </c>
      <c r="F97" t="s">
        <v>293</v>
      </c>
      <c r="G97" t="str">
        <f>"00504852"</f>
        <v>00504852</v>
      </c>
      <c r="H97">
        <v>43.2</v>
      </c>
      <c r="I97">
        <v>0</v>
      </c>
      <c r="K97">
        <v>6</v>
      </c>
      <c r="M97">
        <v>6</v>
      </c>
      <c r="N97">
        <v>0</v>
      </c>
      <c r="O97">
        <v>0</v>
      </c>
      <c r="P97">
        <v>49.2</v>
      </c>
      <c r="Q97">
        <v>78</v>
      </c>
      <c r="R97">
        <v>78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78</v>
      </c>
      <c r="Z97">
        <v>6</v>
      </c>
      <c r="AA97">
        <v>0</v>
      </c>
      <c r="AC97">
        <v>133.19999999999999</v>
      </c>
    </row>
    <row r="98" spans="1:29">
      <c r="A98">
        <v>91</v>
      </c>
      <c r="B98">
        <v>4333</v>
      </c>
      <c r="C98" t="s">
        <v>294</v>
      </c>
      <c r="D98" t="s">
        <v>295</v>
      </c>
      <c r="E98" t="s">
        <v>296</v>
      </c>
      <c r="F98" t="s">
        <v>297</v>
      </c>
      <c r="G98" t="str">
        <f>"00441668"</f>
        <v>00441668</v>
      </c>
      <c r="H98">
        <v>43.2</v>
      </c>
      <c r="I98">
        <v>10</v>
      </c>
      <c r="M98">
        <v>0</v>
      </c>
      <c r="N98">
        <v>0</v>
      </c>
      <c r="O98">
        <v>2</v>
      </c>
      <c r="P98">
        <v>55.2</v>
      </c>
      <c r="Q98">
        <v>78</v>
      </c>
      <c r="R98">
        <v>78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78</v>
      </c>
      <c r="Z98">
        <v>0</v>
      </c>
      <c r="AA98">
        <v>0</v>
      </c>
      <c r="AC98">
        <v>133.19999999999999</v>
      </c>
    </row>
    <row r="99" spans="1:29">
      <c r="A99">
        <v>92</v>
      </c>
      <c r="B99">
        <v>2846</v>
      </c>
      <c r="C99" t="s">
        <v>298</v>
      </c>
      <c r="D99" t="s">
        <v>27</v>
      </c>
      <c r="E99" t="s">
        <v>79</v>
      </c>
      <c r="F99" t="s">
        <v>299</v>
      </c>
      <c r="G99" t="str">
        <f>"00152427"</f>
        <v>00152427</v>
      </c>
      <c r="H99">
        <v>7.2</v>
      </c>
      <c r="I99">
        <v>0</v>
      </c>
      <c r="L99">
        <v>4</v>
      </c>
      <c r="M99">
        <v>4</v>
      </c>
      <c r="N99">
        <v>4</v>
      </c>
      <c r="O99">
        <v>2</v>
      </c>
      <c r="P99">
        <v>17.2</v>
      </c>
      <c r="Q99">
        <v>116</v>
      </c>
      <c r="R99">
        <v>116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116</v>
      </c>
      <c r="Z99">
        <v>0</v>
      </c>
      <c r="AA99">
        <v>0</v>
      </c>
      <c r="AC99">
        <v>133.19999999999999</v>
      </c>
    </row>
    <row r="100" spans="1:29">
      <c r="A100">
        <v>93</v>
      </c>
      <c r="B100">
        <v>4091</v>
      </c>
      <c r="C100" t="s">
        <v>300</v>
      </c>
      <c r="D100" t="s">
        <v>301</v>
      </c>
      <c r="E100" t="s">
        <v>79</v>
      </c>
      <c r="F100" t="s">
        <v>302</v>
      </c>
      <c r="G100" t="str">
        <f>"00506591"</f>
        <v>00506591</v>
      </c>
      <c r="H100">
        <v>36</v>
      </c>
      <c r="I100">
        <v>10</v>
      </c>
      <c r="M100">
        <v>0</v>
      </c>
      <c r="N100">
        <v>4</v>
      </c>
      <c r="O100">
        <v>2</v>
      </c>
      <c r="P100">
        <v>52</v>
      </c>
      <c r="Q100">
        <v>78</v>
      </c>
      <c r="R100">
        <v>78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78</v>
      </c>
      <c r="Z100">
        <v>3</v>
      </c>
      <c r="AA100">
        <v>0</v>
      </c>
      <c r="AC100">
        <v>133</v>
      </c>
    </row>
    <row r="101" spans="1:29">
      <c r="A101">
        <v>94</v>
      </c>
      <c r="B101">
        <v>975</v>
      </c>
      <c r="C101" t="s">
        <v>303</v>
      </c>
      <c r="D101" t="s">
        <v>98</v>
      </c>
      <c r="E101" t="s">
        <v>304</v>
      </c>
      <c r="F101" t="s">
        <v>305</v>
      </c>
      <c r="G101" t="str">
        <f>"00530466"</f>
        <v>00530466</v>
      </c>
      <c r="H101">
        <v>28.8</v>
      </c>
      <c r="I101">
        <v>10</v>
      </c>
      <c r="J101">
        <v>8</v>
      </c>
      <c r="M101">
        <v>8</v>
      </c>
      <c r="N101">
        <v>4</v>
      </c>
      <c r="O101">
        <v>2</v>
      </c>
      <c r="P101">
        <v>52.8</v>
      </c>
      <c r="Q101">
        <v>77</v>
      </c>
      <c r="R101">
        <v>77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77</v>
      </c>
      <c r="Z101">
        <v>3</v>
      </c>
      <c r="AA101">
        <v>0</v>
      </c>
      <c r="AC101">
        <v>132.80000000000001</v>
      </c>
    </row>
    <row r="102" spans="1:29">
      <c r="A102">
        <v>95</v>
      </c>
      <c r="B102">
        <v>3318</v>
      </c>
      <c r="C102" t="s">
        <v>309</v>
      </c>
      <c r="D102" t="s">
        <v>159</v>
      </c>
      <c r="E102" t="s">
        <v>28</v>
      </c>
      <c r="F102" t="s">
        <v>310</v>
      </c>
      <c r="G102" t="str">
        <f>"00499043"</f>
        <v>00499043</v>
      </c>
      <c r="H102">
        <v>64.8</v>
      </c>
      <c r="I102">
        <v>0</v>
      </c>
      <c r="M102">
        <v>0</v>
      </c>
      <c r="N102">
        <v>4</v>
      </c>
      <c r="O102">
        <v>2</v>
      </c>
      <c r="P102">
        <v>70.8</v>
      </c>
      <c r="Q102">
        <v>62</v>
      </c>
      <c r="R102">
        <v>62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62</v>
      </c>
      <c r="Z102">
        <v>0</v>
      </c>
      <c r="AA102">
        <v>0</v>
      </c>
      <c r="AC102">
        <v>132.80000000000001</v>
      </c>
    </row>
    <row r="103" spans="1:29">
      <c r="A103">
        <v>96</v>
      </c>
      <c r="B103">
        <v>3151</v>
      </c>
      <c r="C103" t="s">
        <v>306</v>
      </c>
      <c r="D103" t="s">
        <v>307</v>
      </c>
      <c r="E103" t="s">
        <v>28</v>
      </c>
      <c r="F103" t="s">
        <v>308</v>
      </c>
      <c r="G103" t="str">
        <f>"00499329"</f>
        <v>00499329</v>
      </c>
      <c r="H103">
        <v>64.8</v>
      </c>
      <c r="I103">
        <v>0</v>
      </c>
      <c r="M103">
        <v>0</v>
      </c>
      <c r="N103">
        <v>4</v>
      </c>
      <c r="O103">
        <v>2</v>
      </c>
      <c r="P103">
        <v>70.8</v>
      </c>
      <c r="Q103">
        <v>62</v>
      </c>
      <c r="R103">
        <v>62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62</v>
      </c>
      <c r="Z103">
        <v>0</v>
      </c>
      <c r="AA103">
        <v>0</v>
      </c>
      <c r="AC103">
        <v>132.80000000000001</v>
      </c>
    </row>
    <row r="104" spans="1:29">
      <c r="A104">
        <v>97</v>
      </c>
      <c r="B104">
        <v>2921</v>
      </c>
      <c r="C104" t="s">
        <v>311</v>
      </c>
      <c r="D104" t="s">
        <v>108</v>
      </c>
      <c r="E104" t="s">
        <v>122</v>
      </c>
      <c r="F104" t="s">
        <v>312</v>
      </c>
      <c r="G104" t="str">
        <f>"00485610"</f>
        <v>00485610</v>
      </c>
      <c r="H104">
        <v>57.6</v>
      </c>
      <c r="I104">
        <v>10</v>
      </c>
      <c r="L104">
        <v>4</v>
      </c>
      <c r="M104">
        <v>4</v>
      </c>
      <c r="N104">
        <v>4</v>
      </c>
      <c r="O104">
        <v>2</v>
      </c>
      <c r="P104">
        <v>77.599999999999994</v>
      </c>
      <c r="Q104">
        <v>52</v>
      </c>
      <c r="R104">
        <v>52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52</v>
      </c>
      <c r="Z104">
        <v>3</v>
      </c>
      <c r="AA104">
        <v>0</v>
      </c>
      <c r="AC104">
        <v>132.6</v>
      </c>
    </row>
    <row r="105" spans="1:29">
      <c r="A105">
        <v>98</v>
      </c>
      <c r="B105">
        <v>4250</v>
      </c>
      <c r="C105" t="s">
        <v>313</v>
      </c>
      <c r="D105" t="s">
        <v>314</v>
      </c>
      <c r="E105" t="s">
        <v>156</v>
      </c>
      <c r="F105" t="s">
        <v>315</v>
      </c>
      <c r="G105" t="str">
        <f>"00507598"</f>
        <v>00507598</v>
      </c>
      <c r="H105">
        <v>57.6</v>
      </c>
      <c r="I105">
        <v>10</v>
      </c>
      <c r="K105">
        <v>6</v>
      </c>
      <c r="M105">
        <v>6</v>
      </c>
      <c r="N105">
        <v>4</v>
      </c>
      <c r="O105">
        <v>0</v>
      </c>
      <c r="P105">
        <v>77.599999999999994</v>
      </c>
      <c r="Q105">
        <v>55</v>
      </c>
      <c r="R105">
        <v>55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55</v>
      </c>
      <c r="Z105">
        <v>0</v>
      </c>
      <c r="AA105">
        <v>0</v>
      </c>
      <c r="AC105">
        <v>132.6</v>
      </c>
    </row>
    <row r="106" spans="1:29">
      <c r="A106">
        <v>99</v>
      </c>
      <c r="B106">
        <v>2529</v>
      </c>
      <c r="C106" t="s">
        <v>316</v>
      </c>
      <c r="D106" t="s">
        <v>113</v>
      </c>
      <c r="E106" t="s">
        <v>15</v>
      </c>
      <c r="F106" t="s">
        <v>317</v>
      </c>
      <c r="G106" t="str">
        <f>"201511027344"</f>
        <v>201511027344</v>
      </c>
      <c r="H106">
        <v>50.4</v>
      </c>
      <c r="I106">
        <v>10</v>
      </c>
      <c r="J106">
        <v>8</v>
      </c>
      <c r="M106">
        <v>8</v>
      </c>
      <c r="N106">
        <v>4</v>
      </c>
      <c r="O106">
        <v>2</v>
      </c>
      <c r="P106">
        <v>74.400000000000006</v>
      </c>
      <c r="Q106">
        <v>52</v>
      </c>
      <c r="R106">
        <v>52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52</v>
      </c>
      <c r="Z106">
        <v>6</v>
      </c>
      <c r="AA106">
        <v>0</v>
      </c>
      <c r="AB106" t="s">
        <v>128</v>
      </c>
      <c r="AC106">
        <v>132.4</v>
      </c>
    </row>
    <row r="107" spans="1:29">
      <c r="A107">
        <v>100</v>
      </c>
      <c r="B107">
        <v>3664</v>
      </c>
      <c r="C107" t="s">
        <v>318</v>
      </c>
      <c r="D107" t="s">
        <v>52</v>
      </c>
      <c r="E107" t="s">
        <v>319</v>
      </c>
      <c r="F107" t="s">
        <v>320</v>
      </c>
      <c r="G107" t="str">
        <f>"00531393"</f>
        <v>00531393</v>
      </c>
      <c r="H107">
        <v>14.4</v>
      </c>
      <c r="I107">
        <v>0</v>
      </c>
      <c r="M107">
        <v>0</v>
      </c>
      <c r="N107">
        <v>4</v>
      </c>
      <c r="O107">
        <v>2</v>
      </c>
      <c r="P107">
        <v>20.399999999999999</v>
      </c>
      <c r="Q107">
        <v>109</v>
      </c>
      <c r="R107">
        <v>109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109</v>
      </c>
      <c r="Z107">
        <v>3</v>
      </c>
      <c r="AA107">
        <v>0</v>
      </c>
      <c r="AC107">
        <v>132.4</v>
      </c>
    </row>
    <row r="108" spans="1:29">
      <c r="A108">
        <v>101</v>
      </c>
      <c r="B108">
        <v>3554</v>
      </c>
      <c r="C108" t="s">
        <v>321</v>
      </c>
      <c r="D108" t="s">
        <v>159</v>
      </c>
      <c r="E108" t="s">
        <v>322</v>
      </c>
      <c r="F108" t="s">
        <v>323</v>
      </c>
      <c r="G108" t="str">
        <f>"00511608"</f>
        <v>00511608</v>
      </c>
      <c r="H108">
        <v>14.4</v>
      </c>
      <c r="I108">
        <v>0</v>
      </c>
      <c r="L108">
        <v>4</v>
      </c>
      <c r="M108">
        <v>4</v>
      </c>
      <c r="N108">
        <v>0</v>
      </c>
      <c r="O108">
        <v>0</v>
      </c>
      <c r="P108">
        <v>18.399999999999999</v>
      </c>
      <c r="Q108">
        <v>114</v>
      </c>
      <c r="R108">
        <v>114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114</v>
      </c>
      <c r="Z108">
        <v>0</v>
      </c>
      <c r="AA108">
        <v>0</v>
      </c>
      <c r="AC108">
        <v>132.4</v>
      </c>
    </row>
    <row r="109" spans="1:29">
      <c r="A109">
        <v>102</v>
      </c>
      <c r="B109">
        <v>743</v>
      </c>
      <c r="C109" t="s">
        <v>324</v>
      </c>
      <c r="D109" t="s">
        <v>52</v>
      </c>
      <c r="E109" t="s">
        <v>134</v>
      </c>
      <c r="F109" t="s">
        <v>325</v>
      </c>
      <c r="G109" t="str">
        <f>"201510004072"</f>
        <v>201510004072</v>
      </c>
      <c r="H109">
        <v>37.200000000000003</v>
      </c>
      <c r="I109">
        <v>10</v>
      </c>
      <c r="J109">
        <v>8</v>
      </c>
      <c r="M109">
        <v>8</v>
      </c>
      <c r="N109">
        <v>4</v>
      </c>
      <c r="O109">
        <v>2</v>
      </c>
      <c r="P109">
        <v>61.2</v>
      </c>
      <c r="Q109">
        <v>62</v>
      </c>
      <c r="R109">
        <v>62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62</v>
      </c>
      <c r="Z109">
        <v>9</v>
      </c>
      <c r="AA109">
        <v>0</v>
      </c>
      <c r="AC109">
        <v>132.19999999999999</v>
      </c>
    </row>
    <row r="110" spans="1:29">
      <c r="A110">
        <v>103</v>
      </c>
      <c r="B110">
        <v>2107</v>
      </c>
      <c r="C110" t="s">
        <v>326</v>
      </c>
      <c r="D110" t="s">
        <v>210</v>
      </c>
      <c r="E110" t="s">
        <v>134</v>
      </c>
      <c r="F110" t="s">
        <v>327</v>
      </c>
      <c r="G110" t="str">
        <f>"00526534"</f>
        <v>00526534</v>
      </c>
      <c r="H110">
        <v>43.2</v>
      </c>
      <c r="I110">
        <v>10</v>
      </c>
      <c r="M110">
        <v>0</v>
      </c>
      <c r="N110">
        <v>4</v>
      </c>
      <c r="O110">
        <v>2</v>
      </c>
      <c r="P110">
        <v>59.2</v>
      </c>
      <c r="Q110">
        <v>67</v>
      </c>
      <c r="R110">
        <v>67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67</v>
      </c>
      <c r="Z110">
        <v>6</v>
      </c>
      <c r="AA110">
        <v>0</v>
      </c>
      <c r="AC110">
        <v>132.19999999999999</v>
      </c>
    </row>
    <row r="111" spans="1:29">
      <c r="A111">
        <v>104</v>
      </c>
      <c r="B111">
        <v>3768</v>
      </c>
      <c r="C111" t="s">
        <v>328</v>
      </c>
      <c r="D111" t="s">
        <v>329</v>
      </c>
      <c r="E111" t="s">
        <v>32</v>
      </c>
      <c r="F111" t="s">
        <v>330</v>
      </c>
      <c r="G111" t="str">
        <f>"00530163"</f>
        <v>00530163</v>
      </c>
      <c r="H111">
        <v>7.2</v>
      </c>
      <c r="I111">
        <v>0</v>
      </c>
      <c r="J111">
        <v>8</v>
      </c>
      <c r="M111">
        <v>8</v>
      </c>
      <c r="N111">
        <v>4</v>
      </c>
      <c r="O111">
        <v>0</v>
      </c>
      <c r="P111">
        <v>19.2</v>
      </c>
      <c r="Q111">
        <v>110</v>
      </c>
      <c r="R111">
        <v>110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110</v>
      </c>
      <c r="Z111">
        <v>3</v>
      </c>
      <c r="AA111">
        <v>0</v>
      </c>
      <c r="AC111">
        <v>132.19999999999999</v>
      </c>
    </row>
    <row r="112" spans="1:29">
      <c r="A112">
        <v>105</v>
      </c>
      <c r="B112">
        <v>3978</v>
      </c>
      <c r="C112" t="s">
        <v>331</v>
      </c>
      <c r="D112" t="s">
        <v>332</v>
      </c>
      <c r="E112" t="s">
        <v>333</v>
      </c>
      <c r="F112" t="s">
        <v>334</v>
      </c>
      <c r="G112" t="str">
        <f>"00513306"</f>
        <v>00513306</v>
      </c>
      <c r="H112">
        <v>43.2</v>
      </c>
      <c r="I112">
        <v>10</v>
      </c>
      <c r="J112">
        <v>16</v>
      </c>
      <c r="M112">
        <v>16</v>
      </c>
      <c r="N112">
        <v>4</v>
      </c>
      <c r="O112">
        <v>2</v>
      </c>
      <c r="P112">
        <v>75.2</v>
      </c>
      <c r="Q112">
        <v>57</v>
      </c>
      <c r="R112">
        <v>57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57</v>
      </c>
      <c r="Z112">
        <v>0</v>
      </c>
      <c r="AA112">
        <v>0</v>
      </c>
      <c r="AC112">
        <v>132.19999999999999</v>
      </c>
    </row>
    <row r="113" spans="1:29">
      <c r="A113">
        <v>106</v>
      </c>
      <c r="B113">
        <v>2944</v>
      </c>
      <c r="C113" t="s">
        <v>335</v>
      </c>
      <c r="D113" t="s">
        <v>336</v>
      </c>
      <c r="E113" t="s">
        <v>337</v>
      </c>
      <c r="F113" t="s">
        <v>338</v>
      </c>
      <c r="G113" t="str">
        <f>"00531576"</f>
        <v>00531576</v>
      </c>
      <c r="H113">
        <v>43.2</v>
      </c>
      <c r="I113">
        <v>0</v>
      </c>
      <c r="M113">
        <v>0</v>
      </c>
      <c r="N113">
        <v>0</v>
      </c>
      <c r="O113">
        <v>0</v>
      </c>
      <c r="P113">
        <v>43.2</v>
      </c>
      <c r="Q113">
        <v>89</v>
      </c>
      <c r="R113">
        <v>89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89</v>
      </c>
      <c r="Z113">
        <v>0</v>
      </c>
      <c r="AA113">
        <v>0</v>
      </c>
      <c r="AC113">
        <v>132.19999999999999</v>
      </c>
    </row>
    <row r="114" spans="1:29">
      <c r="A114">
        <v>107</v>
      </c>
      <c r="B114">
        <v>1976</v>
      </c>
      <c r="C114" t="s">
        <v>339</v>
      </c>
      <c r="D114" t="s">
        <v>159</v>
      </c>
      <c r="E114" t="s">
        <v>340</v>
      </c>
      <c r="F114" t="s">
        <v>341</v>
      </c>
      <c r="G114" t="str">
        <f>"00508919"</f>
        <v>00508919</v>
      </c>
      <c r="H114">
        <v>72</v>
      </c>
      <c r="I114">
        <v>10</v>
      </c>
      <c r="M114">
        <v>0</v>
      </c>
      <c r="N114">
        <v>4</v>
      </c>
      <c r="O114">
        <v>2</v>
      </c>
      <c r="P114">
        <v>88</v>
      </c>
      <c r="Q114">
        <v>38</v>
      </c>
      <c r="R114">
        <v>38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38</v>
      </c>
      <c r="Z114">
        <v>6</v>
      </c>
      <c r="AA114">
        <v>0</v>
      </c>
      <c r="AC114">
        <v>132</v>
      </c>
    </row>
    <row r="115" spans="1:29">
      <c r="A115">
        <v>108</v>
      </c>
      <c r="B115">
        <v>238</v>
      </c>
      <c r="C115" t="s">
        <v>342</v>
      </c>
      <c r="D115" t="s">
        <v>343</v>
      </c>
      <c r="E115" t="s">
        <v>134</v>
      </c>
      <c r="F115" t="s">
        <v>344</v>
      </c>
      <c r="G115" t="str">
        <f>"201511021760"</f>
        <v>201511021760</v>
      </c>
      <c r="H115">
        <v>24.8</v>
      </c>
      <c r="I115">
        <v>10</v>
      </c>
      <c r="L115">
        <v>4</v>
      </c>
      <c r="M115">
        <v>4</v>
      </c>
      <c r="N115">
        <v>4</v>
      </c>
      <c r="O115">
        <v>2</v>
      </c>
      <c r="P115">
        <v>44.8</v>
      </c>
      <c r="Q115">
        <v>87</v>
      </c>
      <c r="R115">
        <v>87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87</v>
      </c>
      <c r="Z115">
        <v>0</v>
      </c>
      <c r="AA115">
        <v>0</v>
      </c>
      <c r="AC115">
        <v>131.80000000000001</v>
      </c>
    </row>
    <row r="116" spans="1:29">
      <c r="A116">
        <v>109</v>
      </c>
      <c r="B116">
        <v>4943</v>
      </c>
      <c r="C116" t="s">
        <v>345</v>
      </c>
      <c r="D116" t="s">
        <v>346</v>
      </c>
      <c r="E116" t="s">
        <v>18</v>
      </c>
      <c r="F116" t="s">
        <v>347</v>
      </c>
      <c r="G116" t="str">
        <f>"00526607"</f>
        <v>00526607</v>
      </c>
      <c r="H116">
        <v>36.72</v>
      </c>
      <c r="I116">
        <v>10</v>
      </c>
      <c r="L116">
        <v>4</v>
      </c>
      <c r="M116">
        <v>4</v>
      </c>
      <c r="N116">
        <v>4</v>
      </c>
      <c r="O116">
        <v>2</v>
      </c>
      <c r="P116">
        <v>56.72</v>
      </c>
      <c r="Q116">
        <v>72</v>
      </c>
      <c r="R116">
        <v>72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72</v>
      </c>
      <c r="Z116">
        <v>3</v>
      </c>
      <c r="AA116">
        <v>0</v>
      </c>
      <c r="AC116">
        <v>131.72</v>
      </c>
    </row>
    <row r="117" spans="1:29">
      <c r="A117">
        <v>110</v>
      </c>
      <c r="B117">
        <v>83</v>
      </c>
      <c r="C117" t="s">
        <v>348</v>
      </c>
      <c r="D117" t="s">
        <v>349</v>
      </c>
      <c r="E117" t="s">
        <v>66</v>
      </c>
      <c r="F117" t="s">
        <v>350</v>
      </c>
      <c r="G117" t="str">
        <f>"00474607"</f>
        <v>00474607</v>
      </c>
      <c r="H117">
        <v>57.6</v>
      </c>
      <c r="I117">
        <v>10</v>
      </c>
      <c r="J117">
        <v>8</v>
      </c>
      <c r="M117">
        <v>8</v>
      </c>
      <c r="N117">
        <v>4</v>
      </c>
      <c r="O117">
        <v>2</v>
      </c>
      <c r="P117">
        <v>81.599999999999994</v>
      </c>
      <c r="Q117">
        <v>47</v>
      </c>
      <c r="R117">
        <v>47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47</v>
      </c>
      <c r="Z117">
        <v>3</v>
      </c>
      <c r="AA117">
        <v>0</v>
      </c>
      <c r="AC117">
        <v>131.6</v>
      </c>
    </row>
    <row r="118" spans="1:29">
      <c r="A118">
        <v>111</v>
      </c>
      <c r="B118">
        <v>1324</v>
      </c>
      <c r="C118" t="s">
        <v>351</v>
      </c>
      <c r="D118" t="s">
        <v>352</v>
      </c>
      <c r="E118" t="s">
        <v>66</v>
      </c>
      <c r="F118" t="s">
        <v>353</v>
      </c>
      <c r="G118" t="str">
        <f>"201511031404"</f>
        <v>201511031404</v>
      </c>
      <c r="H118">
        <v>57.6</v>
      </c>
      <c r="I118">
        <v>0</v>
      </c>
      <c r="J118">
        <v>8</v>
      </c>
      <c r="L118">
        <v>4</v>
      </c>
      <c r="M118">
        <v>12</v>
      </c>
      <c r="N118">
        <v>4</v>
      </c>
      <c r="O118">
        <v>2</v>
      </c>
      <c r="P118">
        <v>75.599999999999994</v>
      </c>
      <c r="Q118">
        <v>56</v>
      </c>
      <c r="R118">
        <v>56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56</v>
      </c>
      <c r="Z118">
        <v>0</v>
      </c>
      <c r="AA118">
        <v>0</v>
      </c>
      <c r="AC118">
        <v>131.6</v>
      </c>
    </row>
    <row r="119" spans="1:29">
      <c r="A119">
        <v>112</v>
      </c>
      <c r="B119">
        <v>2665</v>
      </c>
      <c r="C119" t="s">
        <v>354</v>
      </c>
      <c r="D119" t="s">
        <v>179</v>
      </c>
      <c r="E119" t="s">
        <v>355</v>
      </c>
      <c r="F119" t="s">
        <v>356</v>
      </c>
      <c r="G119" t="str">
        <f>"00090441"</f>
        <v>00090441</v>
      </c>
      <c r="H119">
        <v>29.44</v>
      </c>
      <c r="I119">
        <v>10</v>
      </c>
      <c r="M119">
        <v>0</v>
      </c>
      <c r="N119">
        <v>4</v>
      </c>
      <c r="O119">
        <v>2</v>
      </c>
      <c r="P119">
        <v>45.44</v>
      </c>
      <c r="Q119">
        <v>83</v>
      </c>
      <c r="R119">
        <v>83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83</v>
      </c>
      <c r="Z119">
        <v>3</v>
      </c>
      <c r="AA119">
        <v>0</v>
      </c>
      <c r="AB119" t="s">
        <v>128</v>
      </c>
      <c r="AC119">
        <v>131.44</v>
      </c>
    </row>
    <row r="120" spans="1:29">
      <c r="A120">
        <v>113</v>
      </c>
      <c r="B120">
        <v>2899</v>
      </c>
      <c r="C120" t="s">
        <v>357</v>
      </c>
      <c r="D120" t="s">
        <v>108</v>
      </c>
      <c r="E120" t="s">
        <v>165</v>
      </c>
      <c r="F120" t="s">
        <v>358</v>
      </c>
      <c r="G120" t="str">
        <f>"00531796"</f>
        <v>00531796</v>
      </c>
      <c r="H120">
        <v>20.36</v>
      </c>
      <c r="I120">
        <v>10</v>
      </c>
      <c r="J120">
        <v>8</v>
      </c>
      <c r="M120">
        <v>8</v>
      </c>
      <c r="N120">
        <v>4</v>
      </c>
      <c r="O120">
        <v>2</v>
      </c>
      <c r="P120">
        <v>44.36</v>
      </c>
      <c r="Q120">
        <v>81</v>
      </c>
      <c r="R120">
        <v>81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81</v>
      </c>
      <c r="Z120">
        <v>6</v>
      </c>
      <c r="AA120">
        <v>0</v>
      </c>
      <c r="AC120">
        <v>131.36000000000001</v>
      </c>
    </row>
    <row r="121" spans="1:29">
      <c r="A121">
        <v>114</v>
      </c>
      <c r="B121">
        <v>929</v>
      </c>
      <c r="C121" t="s">
        <v>359</v>
      </c>
      <c r="D121" t="s">
        <v>360</v>
      </c>
      <c r="E121" t="s">
        <v>36</v>
      </c>
      <c r="F121" t="s">
        <v>361</v>
      </c>
      <c r="G121" t="str">
        <f>"201512003041"</f>
        <v>201512003041</v>
      </c>
      <c r="H121">
        <v>43.2</v>
      </c>
      <c r="I121">
        <v>10</v>
      </c>
      <c r="J121">
        <v>8</v>
      </c>
      <c r="M121">
        <v>8</v>
      </c>
      <c r="N121">
        <v>4</v>
      </c>
      <c r="O121">
        <v>2</v>
      </c>
      <c r="P121">
        <v>67.2</v>
      </c>
      <c r="Q121">
        <v>55</v>
      </c>
      <c r="R121">
        <v>55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55</v>
      </c>
      <c r="Z121">
        <v>9</v>
      </c>
      <c r="AA121">
        <v>0</v>
      </c>
      <c r="AC121">
        <v>131.19999999999999</v>
      </c>
    </row>
    <row r="122" spans="1:29">
      <c r="A122">
        <v>115</v>
      </c>
      <c r="B122">
        <v>2120</v>
      </c>
      <c r="C122" t="s">
        <v>362</v>
      </c>
      <c r="D122" t="s">
        <v>363</v>
      </c>
      <c r="E122" t="s">
        <v>134</v>
      </c>
      <c r="F122" t="s">
        <v>364</v>
      </c>
      <c r="G122" t="str">
        <f>"00530400"</f>
        <v>00530400</v>
      </c>
      <c r="H122">
        <v>38.200000000000003</v>
      </c>
      <c r="I122">
        <v>0</v>
      </c>
      <c r="L122">
        <v>4</v>
      </c>
      <c r="M122">
        <v>4</v>
      </c>
      <c r="N122">
        <v>4</v>
      </c>
      <c r="O122">
        <v>2</v>
      </c>
      <c r="P122">
        <v>48.2</v>
      </c>
      <c r="Q122">
        <v>80</v>
      </c>
      <c r="R122">
        <v>80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80</v>
      </c>
      <c r="Z122">
        <v>3</v>
      </c>
      <c r="AA122">
        <v>0</v>
      </c>
      <c r="AC122">
        <v>131.19999999999999</v>
      </c>
    </row>
    <row r="123" spans="1:29">
      <c r="A123">
        <v>116</v>
      </c>
      <c r="B123">
        <v>130</v>
      </c>
      <c r="C123" t="s">
        <v>365</v>
      </c>
      <c r="D123" t="s">
        <v>366</v>
      </c>
      <c r="E123" t="s">
        <v>79</v>
      </c>
      <c r="F123" t="s">
        <v>367</v>
      </c>
      <c r="G123" t="str">
        <f>"00499480"</f>
        <v>00499480</v>
      </c>
      <c r="H123">
        <v>7.2</v>
      </c>
      <c r="I123">
        <v>10</v>
      </c>
      <c r="J123">
        <v>8</v>
      </c>
      <c r="K123">
        <v>6</v>
      </c>
      <c r="M123">
        <v>14</v>
      </c>
      <c r="N123">
        <v>4</v>
      </c>
      <c r="O123">
        <v>2</v>
      </c>
      <c r="P123">
        <v>37.200000000000003</v>
      </c>
      <c r="Q123">
        <v>91</v>
      </c>
      <c r="R123">
        <v>91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91</v>
      </c>
      <c r="Z123">
        <v>3</v>
      </c>
      <c r="AA123">
        <v>0</v>
      </c>
      <c r="AC123">
        <v>131.19999999999999</v>
      </c>
    </row>
    <row r="124" spans="1:29">
      <c r="A124">
        <v>117</v>
      </c>
      <c r="B124">
        <v>2732</v>
      </c>
      <c r="C124" t="s">
        <v>368</v>
      </c>
      <c r="D124" t="s">
        <v>205</v>
      </c>
      <c r="E124" t="s">
        <v>369</v>
      </c>
      <c r="F124" t="s">
        <v>370</v>
      </c>
      <c r="G124" t="str">
        <f>"00531373"</f>
        <v>00531373</v>
      </c>
      <c r="H124">
        <v>43.2</v>
      </c>
      <c r="I124">
        <v>0</v>
      </c>
      <c r="L124">
        <v>4</v>
      </c>
      <c r="M124">
        <v>4</v>
      </c>
      <c r="N124">
        <v>4</v>
      </c>
      <c r="O124">
        <v>2</v>
      </c>
      <c r="P124">
        <v>53.2</v>
      </c>
      <c r="Q124">
        <v>78</v>
      </c>
      <c r="R124">
        <v>78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78</v>
      </c>
      <c r="Z124">
        <v>0</v>
      </c>
      <c r="AA124">
        <v>0</v>
      </c>
      <c r="AC124">
        <v>131.19999999999999</v>
      </c>
    </row>
    <row r="125" spans="1:29">
      <c r="A125">
        <v>118</v>
      </c>
      <c r="B125">
        <v>623</v>
      </c>
      <c r="C125" t="s">
        <v>371</v>
      </c>
      <c r="D125" t="s">
        <v>31</v>
      </c>
      <c r="E125" t="s">
        <v>15</v>
      </c>
      <c r="F125" t="s">
        <v>372</v>
      </c>
      <c r="G125" t="str">
        <f>"00507178"</f>
        <v>00507178</v>
      </c>
      <c r="H125">
        <v>36</v>
      </c>
      <c r="I125">
        <v>0</v>
      </c>
      <c r="M125">
        <v>0</v>
      </c>
      <c r="N125">
        <v>0</v>
      </c>
      <c r="O125">
        <v>0</v>
      </c>
      <c r="P125">
        <v>36</v>
      </c>
      <c r="Q125">
        <v>89</v>
      </c>
      <c r="R125">
        <v>89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89</v>
      </c>
      <c r="Z125">
        <v>6</v>
      </c>
      <c r="AA125">
        <v>0</v>
      </c>
      <c r="AC125">
        <v>131</v>
      </c>
    </row>
    <row r="126" spans="1:29">
      <c r="A126">
        <v>119</v>
      </c>
      <c r="B126">
        <v>2247</v>
      </c>
      <c r="C126" t="s">
        <v>373</v>
      </c>
      <c r="D126" t="s">
        <v>374</v>
      </c>
      <c r="E126" t="s">
        <v>375</v>
      </c>
      <c r="F126" t="s">
        <v>376</v>
      </c>
      <c r="G126" t="str">
        <f>"00529157"</f>
        <v>00529157</v>
      </c>
      <c r="H126">
        <v>21.6</v>
      </c>
      <c r="I126">
        <v>0</v>
      </c>
      <c r="L126">
        <v>4</v>
      </c>
      <c r="M126">
        <v>4</v>
      </c>
      <c r="N126">
        <v>4</v>
      </c>
      <c r="O126">
        <v>2</v>
      </c>
      <c r="P126">
        <v>31.6</v>
      </c>
      <c r="Q126">
        <v>93</v>
      </c>
      <c r="R126">
        <v>93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93</v>
      </c>
      <c r="Z126">
        <v>6</v>
      </c>
      <c r="AA126">
        <v>0</v>
      </c>
      <c r="AC126">
        <v>130.6</v>
      </c>
    </row>
    <row r="127" spans="1:29">
      <c r="A127">
        <v>120</v>
      </c>
      <c r="B127">
        <v>1724</v>
      </c>
      <c r="C127" t="s">
        <v>377</v>
      </c>
      <c r="D127" t="s">
        <v>378</v>
      </c>
      <c r="E127" t="s">
        <v>379</v>
      </c>
      <c r="F127" t="s">
        <v>380</v>
      </c>
      <c r="G127" t="str">
        <f>"00498894"</f>
        <v>00498894</v>
      </c>
      <c r="H127">
        <v>57.6</v>
      </c>
      <c r="I127">
        <v>10</v>
      </c>
      <c r="L127">
        <v>4</v>
      </c>
      <c r="M127">
        <v>4</v>
      </c>
      <c r="N127">
        <v>4</v>
      </c>
      <c r="O127">
        <v>0</v>
      </c>
      <c r="P127">
        <v>75.599999999999994</v>
      </c>
      <c r="Q127">
        <v>52</v>
      </c>
      <c r="R127">
        <v>52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52</v>
      </c>
      <c r="Z127">
        <v>3</v>
      </c>
      <c r="AA127">
        <v>0</v>
      </c>
      <c r="AC127">
        <v>130.6</v>
      </c>
    </row>
    <row r="128" spans="1:29">
      <c r="A128">
        <v>121</v>
      </c>
      <c r="B128">
        <v>4295</v>
      </c>
      <c r="C128" t="s">
        <v>381</v>
      </c>
      <c r="D128" t="s">
        <v>185</v>
      </c>
      <c r="E128" t="s">
        <v>115</v>
      </c>
      <c r="F128" t="s">
        <v>382</v>
      </c>
      <c r="G128" t="str">
        <f>"00442237"</f>
        <v>00442237</v>
      </c>
      <c r="H128">
        <v>57.6</v>
      </c>
      <c r="I128">
        <v>0</v>
      </c>
      <c r="J128">
        <v>8</v>
      </c>
      <c r="M128">
        <v>8</v>
      </c>
      <c r="N128">
        <v>4</v>
      </c>
      <c r="O128">
        <v>2</v>
      </c>
      <c r="P128">
        <v>71.599999999999994</v>
      </c>
      <c r="Q128">
        <v>56</v>
      </c>
      <c r="R128">
        <v>56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56</v>
      </c>
      <c r="Z128">
        <v>3</v>
      </c>
      <c r="AA128">
        <v>0</v>
      </c>
      <c r="AC128">
        <v>130.6</v>
      </c>
    </row>
    <row r="129" spans="1:29">
      <c r="A129">
        <v>122</v>
      </c>
      <c r="B129">
        <v>992</v>
      </c>
      <c r="C129" t="s">
        <v>383</v>
      </c>
      <c r="D129" t="s">
        <v>384</v>
      </c>
      <c r="E129" t="s">
        <v>53</v>
      </c>
      <c r="F129" t="s">
        <v>385</v>
      </c>
      <c r="G129" t="str">
        <f>"201511005442"</f>
        <v>201511005442</v>
      </c>
      <c r="H129">
        <v>57.6</v>
      </c>
      <c r="I129">
        <v>10</v>
      </c>
      <c r="J129">
        <v>8</v>
      </c>
      <c r="M129">
        <v>8</v>
      </c>
      <c r="N129">
        <v>4</v>
      </c>
      <c r="O129">
        <v>2</v>
      </c>
      <c r="P129">
        <v>81.599999999999994</v>
      </c>
      <c r="Q129">
        <v>49</v>
      </c>
      <c r="R129">
        <v>49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49</v>
      </c>
      <c r="Z129">
        <v>0</v>
      </c>
      <c r="AA129">
        <v>0</v>
      </c>
      <c r="AC129">
        <v>130.6</v>
      </c>
    </row>
    <row r="130" spans="1:29">
      <c r="A130">
        <v>123</v>
      </c>
      <c r="B130">
        <v>672</v>
      </c>
      <c r="C130" t="s">
        <v>386</v>
      </c>
      <c r="D130" t="s">
        <v>98</v>
      </c>
      <c r="E130" t="s">
        <v>387</v>
      </c>
      <c r="F130" t="s">
        <v>388</v>
      </c>
      <c r="G130" t="str">
        <f>"00523612"</f>
        <v>00523612</v>
      </c>
      <c r="H130">
        <v>21.6</v>
      </c>
      <c r="I130">
        <v>10</v>
      </c>
      <c r="M130">
        <v>0</v>
      </c>
      <c r="N130">
        <v>4</v>
      </c>
      <c r="O130">
        <v>2</v>
      </c>
      <c r="P130">
        <v>37.6</v>
      </c>
      <c r="Q130">
        <v>93</v>
      </c>
      <c r="R130">
        <v>93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93</v>
      </c>
      <c r="Z130">
        <v>0</v>
      </c>
      <c r="AA130">
        <v>0</v>
      </c>
      <c r="AC130">
        <v>130.6</v>
      </c>
    </row>
    <row r="131" spans="1:29">
      <c r="A131">
        <v>124</v>
      </c>
      <c r="B131">
        <v>858</v>
      </c>
      <c r="C131" t="s">
        <v>389</v>
      </c>
      <c r="D131" t="s">
        <v>185</v>
      </c>
      <c r="E131" t="s">
        <v>227</v>
      </c>
      <c r="F131" t="s">
        <v>390</v>
      </c>
      <c r="G131" t="str">
        <f>"00511066"</f>
        <v>00511066</v>
      </c>
      <c r="H131">
        <v>35.4</v>
      </c>
      <c r="I131">
        <v>0</v>
      </c>
      <c r="L131">
        <v>4</v>
      </c>
      <c r="M131">
        <v>4</v>
      </c>
      <c r="N131">
        <v>4</v>
      </c>
      <c r="O131">
        <v>2</v>
      </c>
      <c r="P131">
        <v>45.4</v>
      </c>
      <c r="Q131">
        <v>82</v>
      </c>
      <c r="R131">
        <v>82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82</v>
      </c>
      <c r="Z131">
        <v>3</v>
      </c>
      <c r="AA131">
        <v>0</v>
      </c>
      <c r="AC131">
        <v>130.4</v>
      </c>
    </row>
    <row r="132" spans="1:29">
      <c r="A132">
        <v>125</v>
      </c>
      <c r="B132">
        <v>1241</v>
      </c>
      <c r="C132" t="s">
        <v>391</v>
      </c>
      <c r="D132" t="s">
        <v>164</v>
      </c>
      <c r="E132" t="s">
        <v>79</v>
      </c>
      <c r="F132" t="s">
        <v>392</v>
      </c>
      <c r="G132" t="str">
        <f>"00531980"</f>
        <v>00531980</v>
      </c>
      <c r="H132">
        <v>43.2</v>
      </c>
      <c r="I132">
        <v>10</v>
      </c>
      <c r="M132">
        <v>0</v>
      </c>
      <c r="N132">
        <v>4</v>
      </c>
      <c r="O132">
        <v>2</v>
      </c>
      <c r="P132">
        <v>59.2</v>
      </c>
      <c r="Q132">
        <v>38</v>
      </c>
      <c r="R132">
        <v>38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38</v>
      </c>
      <c r="Z132">
        <v>9</v>
      </c>
      <c r="AA132">
        <v>24</v>
      </c>
      <c r="AC132">
        <v>130.19999999999999</v>
      </c>
    </row>
    <row r="133" spans="1:29">
      <c r="A133">
        <v>126</v>
      </c>
      <c r="B133">
        <v>1917</v>
      </c>
      <c r="C133" t="s">
        <v>393</v>
      </c>
      <c r="D133" t="s">
        <v>394</v>
      </c>
      <c r="E133" t="s">
        <v>156</v>
      </c>
      <c r="F133" t="s">
        <v>395</v>
      </c>
      <c r="G133" t="str">
        <f>"00161269"</f>
        <v>00161269</v>
      </c>
      <c r="H133">
        <v>7.2</v>
      </c>
      <c r="I133">
        <v>0</v>
      </c>
      <c r="M133">
        <v>0</v>
      </c>
      <c r="N133">
        <v>0</v>
      </c>
      <c r="O133">
        <v>0</v>
      </c>
      <c r="P133">
        <v>7.2</v>
      </c>
      <c r="Q133">
        <v>120</v>
      </c>
      <c r="R133">
        <v>120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120</v>
      </c>
      <c r="Z133">
        <v>3</v>
      </c>
      <c r="AA133">
        <v>0</v>
      </c>
      <c r="AC133">
        <v>130.19999999999999</v>
      </c>
    </row>
    <row r="134" spans="1:29">
      <c r="A134">
        <v>127</v>
      </c>
      <c r="B134">
        <v>2243</v>
      </c>
      <c r="C134" t="s">
        <v>396</v>
      </c>
      <c r="D134" t="s">
        <v>397</v>
      </c>
      <c r="E134" t="s">
        <v>36</v>
      </c>
      <c r="F134" t="s">
        <v>398</v>
      </c>
      <c r="G134" t="str">
        <f>"00485040"</f>
        <v>00485040</v>
      </c>
      <c r="H134">
        <v>36</v>
      </c>
      <c r="I134">
        <v>0</v>
      </c>
      <c r="J134">
        <v>8</v>
      </c>
      <c r="M134">
        <v>8</v>
      </c>
      <c r="N134">
        <v>4</v>
      </c>
      <c r="O134">
        <v>2</v>
      </c>
      <c r="P134">
        <v>50</v>
      </c>
      <c r="Q134">
        <v>77</v>
      </c>
      <c r="R134">
        <v>77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77</v>
      </c>
      <c r="Z134">
        <v>3</v>
      </c>
      <c r="AA134">
        <v>0</v>
      </c>
      <c r="AC134">
        <v>130</v>
      </c>
    </row>
    <row r="135" spans="1:29">
      <c r="A135">
        <v>128</v>
      </c>
      <c r="B135">
        <v>1589</v>
      </c>
      <c r="C135" t="s">
        <v>399</v>
      </c>
      <c r="D135" t="s">
        <v>400</v>
      </c>
      <c r="E135" t="s">
        <v>18</v>
      </c>
      <c r="F135" t="s">
        <v>401</v>
      </c>
      <c r="G135" t="str">
        <f>"00158417"</f>
        <v>00158417</v>
      </c>
      <c r="H135">
        <v>72</v>
      </c>
      <c r="I135">
        <v>10</v>
      </c>
      <c r="L135">
        <v>4</v>
      </c>
      <c r="M135">
        <v>4</v>
      </c>
      <c r="N135">
        <v>4</v>
      </c>
      <c r="O135">
        <v>2</v>
      </c>
      <c r="P135">
        <v>92</v>
      </c>
      <c r="Q135">
        <v>38</v>
      </c>
      <c r="R135">
        <v>38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38</v>
      </c>
      <c r="Z135">
        <v>0</v>
      </c>
      <c r="AA135">
        <v>0</v>
      </c>
      <c r="AC135">
        <v>130</v>
      </c>
    </row>
    <row r="136" spans="1:29">
      <c r="A136">
        <v>129</v>
      </c>
      <c r="B136">
        <v>2715</v>
      </c>
      <c r="C136" t="s">
        <v>402</v>
      </c>
      <c r="D136" t="s">
        <v>185</v>
      </c>
      <c r="E136" t="s">
        <v>18</v>
      </c>
      <c r="F136" t="s">
        <v>403</v>
      </c>
      <c r="G136" t="str">
        <f>"00161316"</f>
        <v>00161316</v>
      </c>
      <c r="H136">
        <v>21.84</v>
      </c>
      <c r="I136">
        <v>10</v>
      </c>
      <c r="M136">
        <v>0</v>
      </c>
      <c r="N136">
        <v>4</v>
      </c>
      <c r="O136">
        <v>2</v>
      </c>
      <c r="P136">
        <v>37.840000000000003</v>
      </c>
      <c r="Q136">
        <v>61</v>
      </c>
      <c r="R136">
        <v>61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61</v>
      </c>
      <c r="Z136">
        <v>3</v>
      </c>
      <c r="AA136">
        <v>28</v>
      </c>
      <c r="AC136">
        <v>129.84</v>
      </c>
    </row>
    <row r="137" spans="1:29">
      <c r="A137">
        <v>130</v>
      </c>
      <c r="B137">
        <v>888</v>
      </c>
      <c r="C137" t="s">
        <v>404</v>
      </c>
      <c r="D137" t="s">
        <v>52</v>
      </c>
      <c r="E137" t="s">
        <v>18</v>
      </c>
      <c r="F137" t="s">
        <v>405</v>
      </c>
      <c r="G137" t="str">
        <f>"00198008"</f>
        <v>00198008</v>
      </c>
      <c r="H137">
        <v>28.8</v>
      </c>
      <c r="I137">
        <v>10</v>
      </c>
      <c r="J137">
        <v>8</v>
      </c>
      <c r="M137">
        <v>8</v>
      </c>
      <c r="N137">
        <v>4</v>
      </c>
      <c r="O137">
        <v>2</v>
      </c>
      <c r="P137">
        <v>52.8</v>
      </c>
      <c r="Q137">
        <v>77</v>
      </c>
      <c r="R137">
        <v>77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77</v>
      </c>
      <c r="Z137">
        <v>0</v>
      </c>
      <c r="AA137">
        <v>0</v>
      </c>
      <c r="AC137">
        <v>129.80000000000001</v>
      </c>
    </row>
    <row r="138" spans="1:29">
      <c r="A138">
        <v>131</v>
      </c>
      <c r="B138">
        <v>2319</v>
      </c>
      <c r="C138" t="s">
        <v>406</v>
      </c>
      <c r="D138" t="s">
        <v>407</v>
      </c>
      <c r="E138" t="s">
        <v>15</v>
      </c>
      <c r="F138" t="s">
        <v>408</v>
      </c>
      <c r="G138" t="str">
        <f>"00518358"</f>
        <v>00518358</v>
      </c>
      <c r="H138">
        <v>28.8</v>
      </c>
      <c r="I138">
        <v>0</v>
      </c>
      <c r="L138">
        <v>4</v>
      </c>
      <c r="M138">
        <v>4</v>
      </c>
      <c r="N138">
        <v>4</v>
      </c>
      <c r="O138">
        <v>0</v>
      </c>
      <c r="P138">
        <v>36.799999999999997</v>
      </c>
      <c r="Q138">
        <v>93</v>
      </c>
      <c r="R138">
        <v>93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93</v>
      </c>
      <c r="Z138">
        <v>0</v>
      </c>
      <c r="AA138">
        <v>0</v>
      </c>
      <c r="AC138">
        <v>129.80000000000001</v>
      </c>
    </row>
    <row r="139" spans="1:29">
      <c r="A139">
        <v>132</v>
      </c>
      <c r="B139">
        <v>4916</v>
      </c>
      <c r="C139" t="s">
        <v>409</v>
      </c>
      <c r="D139" t="s">
        <v>248</v>
      </c>
      <c r="E139" t="s">
        <v>410</v>
      </c>
      <c r="F139" t="s">
        <v>411</v>
      </c>
      <c r="G139" t="str">
        <f>"00864906"</f>
        <v>00864906</v>
      </c>
      <c r="H139">
        <v>37.520000000000003</v>
      </c>
      <c r="I139">
        <v>10</v>
      </c>
      <c r="K139">
        <v>6</v>
      </c>
      <c r="M139">
        <v>6</v>
      </c>
      <c r="N139">
        <v>0</v>
      </c>
      <c r="O139">
        <v>2</v>
      </c>
      <c r="P139">
        <v>55.52</v>
      </c>
      <c r="Q139">
        <v>71</v>
      </c>
      <c r="R139">
        <v>71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71</v>
      </c>
      <c r="Z139">
        <v>3</v>
      </c>
      <c r="AA139">
        <v>0</v>
      </c>
      <c r="AC139">
        <v>129.52000000000001</v>
      </c>
    </row>
    <row r="140" spans="1:29">
      <c r="A140">
        <v>133</v>
      </c>
      <c r="B140">
        <v>3182</v>
      </c>
      <c r="C140" t="s">
        <v>412</v>
      </c>
      <c r="D140" t="s">
        <v>413</v>
      </c>
      <c r="E140" t="s">
        <v>122</v>
      </c>
      <c r="F140" t="s">
        <v>414</v>
      </c>
      <c r="G140" t="str">
        <f>"201604006086"</f>
        <v>201604006086</v>
      </c>
      <c r="H140">
        <v>50.4</v>
      </c>
      <c r="I140">
        <v>10</v>
      </c>
      <c r="M140">
        <v>0</v>
      </c>
      <c r="N140">
        <v>4</v>
      </c>
      <c r="O140">
        <v>0</v>
      </c>
      <c r="P140">
        <v>64.400000000000006</v>
      </c>
      <c r="Q140">
        <v>56</v>
      </c>
      <c r="R140">
        <v>56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56</v>
      </c>
      <c r="Z140">
        <v>9</v>
      </c>
      <c r="AA140">
        <v>0</v>
      </c>
      <c r="AC140">
        <v>129.4</v>
      </c>
    </row>
    <row r="141" spans="1:29">
      <c r="A141">
        <v>134</v>
      </c>
      <c r="B141">
        <v>2165</v>
      </c>
      <c r="C141" t="s">
        <v>415</v>
      </c>
      <c r="D141" t="s">
        <v>27</v>
      </c>
      <c r="E141" t="s">
        <v>77</v>
      </c>
      <c r="F141" t="s">
        <v>416</v>
      </c>
      <c r="G141" t="str">
        <f>"00480020"</f>
        <v>00480020</v>
      </c>
      <c r="H141">
        <v>50.4</v>
      </c>
      <c r="I141">
        <v>0</v>
      </c>
      <c r="L141">
        <v>4</v>
      </c>
      <c r="M141">
        <v>4</v>
      </c>
      <c r="N141">
        <v>4</v>
      </c>
      <c r="O141">
        <v>2</v>
      </c>
      <c r="P141">
        <v>60.4</v>
      </c>
      <c r="Q141">
        <v>63</v>
      </c>
      <c r="R141">
        <v>63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63</v>
      </c>
      <c r="Z141">
        <v>6</v>
      </c>
      <c r="AA141">
        <v>0</v>
      </c>
      <c r="AC141">
        <v>129.4</v>
      </c>
    </row>
    <row r="142" spans="1:29">
      <c r="A142">
        <v>135</v>
      </c>
      <c r="B142">
        <v>2989</v>
      </c>
      <c r="C142" t="s">
        <v>417</v>
      </c>
      <c r="D142" t="s">
        <v>418</v>
      </c>
      <c r="E142" t="s">
        <v>419</v>
      </c>
      <c r="F142" t="s">
        <v>420</v>
      </c>
      <c r="G142" t="str">
        <f>"00151911"</f>
        <v>00151911</v>
      </c>
      <c r="H142">
        <v>50.4</v>
      </c>
      <c r="I142">
        <v>10</v>
      </c>
      <c r="J142">
        <v>8</v>
      </c>
      <c r="M142">
        <v>8</v>
      </c>
      <c r="N142">
        <v>4</v>
      </c>
      <c r="O142">
        <v>2</v>
      </c>
      <c r="P142">
        <v>74.400000000000006</v>
      </c>
      <c r="Q142">
        <v>55</v>
      </c>
      <c r="R142">
        <v>55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55</v>
      </c>
      <c r="Z142">
        <v>0</v>
      </c>
      <c r="AA142">
        <v>0</v>
      </c>
      <c r="AC142">
        <v>129.4</v>
      </c>
    </row>
    <row r="143" spans="1:29">
      <c r="A143">
        <v>136</v>
      </c>
      <c r="B143">
        <v>3287</v>
      </c>
      <c r="C143" t="s">
        <v>421</v>
      </c>
      <c r="D143" t="s">
        <v>248</v>
      </c>
      <c r="E143" t="s">
        <v>18</v>
      </c>
      <c r="F143" t="s">
        <v>422</v>
      </c>
      <c r="G143" t="str">
        <f>"00531213"</f>
        <v>00531213</v>
      </c>
      <c r="H143">
        <v>43.2</v>
      </c>
      <c r="I143">
        <v>0</v>
      </c>
      <c r="L143">
        <v>4</v>
      </c>
      <c r="M143">
        <v>4</v>
      </c>
      <c r="N143">
        <v>4</v>
      </c>
      <c r="O143">
        <v>0</v>
      </c>
      <c r="P143">
        <v>51.2</v>
      </c>
      <c r="Q143">
        <v>72</v>
      </c>
      <c r="R143">
        <v>72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72</v>
      </c>
      <c r="Z143">
        <v>6</v>
      </c>
      <c r="AA143">
        <v>0</v>
      </c>
      <c r="AC143">
        <v>129.19999999999999</v>
      </c>
    </row>
    <row r="144" spans="1:29">
      <c r="A144">
        <v>137</v>
      </c>
      <c r="B144">
        <v>970</v>
      </c>
      <c r="C144" t="s">
        <v>423</v>
      </c>
      <c r="D144" t="s">
        <v>185</v>
      </c>
      <c r="E144" t="s">
        <v>424</v>
      </c>
      <c r="F144" t="s">
        <v>425</v>
      </c>
      <c r="G144" t="str">
        <f>"00504377"</f>
        <v>00504377</v>
      </c>
      <c r="H144">
        <v>43.2</v>
      </c>
      <c r="I144">
        <v>10</v>
      </c>
      <c r="M144">
        <v>0</v>
      </c>
      <c r="N144">
        <v>4</v>
      </c>
      <c r="O144">
        <v>0</v>
      </c>
      <c r="P144">
        <v>57.2</v>
      </c>
      <c r="Q144">
        <v>69</v>
      </c>
      <c r="R144">
        <v>69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69</v>
      </c>
      <c r="Z144">
        <v>3</v>
      </c>
      <c r="AA144">
        <v>0</v>
      </c>
      <c r="AC144">
        <v>129.19999999999999</v>
      </c>
    </row>
    <row r="145" spans="1:29">
      <c r="A145">
        <v>138</v>
      </c>
      <c r="B145">
        <v>3713</v>
      </c>
      <c r="C145" t="s">
        <v>426</v>
      </c>
      <c r="D145" t="s">
        <v>86</v>
      </c>
      <c r="E145" t="s">
        <v>15</v>
      </c>
      <c r="F145" t="s">
        <v>427</v>
      </c>
      <c r="G145" t="str">
        <f>"00493087"</f>
        <v>00493087</v>
      </c>
      <c r="H145">
        <v>36</v>
      </c>
      <c r="I145">
        <v>0</v>
      </c>
      <c r="M145">
        <v>0</v>
      </c>
      <c r="N145">
        <v>4</v>
      </c>
      <c r="O145">
        <v>0</v>
      </c>
      <c r="P145">
        <v>40</v>
      </c>
      <c r="Q145">
        <v>83</v>
      </c>
      <c r="R145">
        <v>83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83</v>
      </c>
      <c r="Z145">
        <v>6</v>
      </c>
      <c r="AA145">
        <v>0</v>
      </c>
      <c r="AC145">
        <v>129</v>
      </c>
    </row>
    <row r="146" spans="1:29">
      <c r="A146">
        <v>139</v>
      </c>
      <c r="B146">
        <v>1047</v>
      </c>
      <c r="C146" t="s">
        <v>428</v>
      </c>
      <c r="D146" t="s">
        <v>27</v>
      </c>
      <c r="E146" t="s">
        <v>122</v>
      </c>
      <c r="F146" t="s">
        <v>429</v>
      </c>
      <c r="G146" t="str">
        <f>"00442205"</f>
        <v>00442205</v>
      </c>
      <c r="H146">
        <v>30.92</v>
      </c>
      <c r="I146">
        <v>10</v>
      </c>
      <c r="J146">
        <v>8</v>
      </c>
      <c r="M146">
        <v>8</v>
      </c>
      <c r="N146">
        <v>4</v>
      </c>
      <c r="O146">
        <v>2</v>
      </c>
      <c r="P146">
        <v>54.92</v>
      </c>
      <c r="Q146">
        <v>74</v>
      </c>
      <c r="R146">
        <v>74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74</v>
      </c>
      <c r="Z146">
        <v>0</v>
      </c>
      <c r="AA146">
        <v>0</v>
      </c>
      <c r="AC146">
        <v>128.91999999999999</v>
      </c>
    </row>
    <row r="147" spans="1:29">
      <c r="A147">
        <v>140</v>
      </c>
      <c r="B147">
        <v>2618</v>
      </c>
      <c r="C147" t="s">
        <v>430</v>
      </c>
      <c r="D147" t="s">
        <v>27</v>
      </c>
      <c r="E147" t="s">
        <v>66</v>
      </c>
      <c r="F147" t="s">
        <v>431</v>
      </c>
      <c r="G147" t="str">
        <f>"00477107"</f>
        <v>00477107</v>
      </c>
      <c r="H147">
        <v>20.8</v>
      </c>
      <c r="I147">
        <v>0</v>
      </c>
      <c r="J147">
        <v>8</v>
      </c>
      <c r="M147">
        <v>8</v>
      </c>
      <c r="N147">
        <v>4</v>
      </c>
      <c r="O147">
        <v>2</v>
      </c>
      <c r="P147">
        <v>34.799999999999997</v>
      </c>
      <c r="Q147">
        <v>58</v>
      </c>
      <c r="R147">
        <v>58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58</v>
      </c>
      <c r="Z147">
        <v>6</v>
      </c>
      <c r="AA147">
        <v>30</v>
      </c>
      <c r="AC147">
        <v>128.80000000000001</v>
      </c>
    </row>
    <row r="148" spans="1:29">
      <c r="A148">
        <v>141</v>
      </c>
      <c r="B148">
        <v>380</v>
      </c>
      <c r="C148" t="s">
        <v>432</v>
      </c>
      <c r="D148" t="s">
        <v>433</v>
      </c>
      <c r="E148" t="s">
        <v>36</v>
      </c>
      <c r="F148" t="s">
        <v>434</v>
      </c>
      <c r="G148" t="str">
        <f>"00492719"</f>
        <v>00492719</v>
      </c>
      <c r="H148">
        <v>64.8</v>
      </c>
      <c r="I148">
        <v>0</v>
      </c>
      <c r="M148">
        <v>0</v>
      </c>
      <c r="N148">
        <v>4</v>
      </c>
      <c r="O148">
        <v>0</v>
      </c>
      <c r="P148">
        <v>68.8</v>
      </c>
      <c r="Q148">
        <v>54</v>
      </c>
      <c r="R148">
        <v>54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54</v>
      </c>
      <c r="Z148">
        <v>6</v>
      </c>
      <c r="AA148">
        <v>0</v>
      </c>
      <c r="AC148">
        <v>128.80000000000001</v>
      </c>
    </row>
    <row r="149" spans="1:29">
      <c r="A149">
        <v>142</v>
      </c>
      <c r="B149">
        <v>1564</v>
      </c>
      <c r="C149" t="s">
        <v>435</v>
      </c>
      <c r="D149" t="s">
        <v>95</v>
      </c>
      <c r="E149" t="s">
        <v>436</v>
      </c>
      <c r="F149" t="s">
        <v>437</v>
      </c>
      <c r="G149" t="str">
        <f>"00479920"</f>
        <v>00479920</v>
      </c>
      <c r="H149">
        <v>64.8</v>
      </c>
      <c r="I149">
        <v>0</v>
      </c>
      <c r="L149">
        <v>4</v>
      </c>
      <c r="M149">
        <v>4</v>
      </c>
      <c r="N149">
        <v>4</v>
      </c>
      <c r="O149">
        <v>2</v>
      </c>
      <c r="P149">
        <v>74.8</v>
      </c>
      <c r="Q149">
        <v>54</v>
      </c>
      <c r="R149">
        <v>54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54</v>
      </c>
      <c r="Z149">
        <v>0</v>
      </c>
      <c r="AA149">
        <v>0</v>
      </c>
      <c r="AC149">
        <v>128.80000000000001</v>
      </c>
    </row>
    <row r="150" spans="1:29">
      <c r="A150">
        <v>143</v>
      </c>
      <c r="B150">
        <v>2025</v>
      </c>
      <c r="C150" t="s">
        <v>438</v>
      </c>
      <c r="D150" t="s">
        <v>108</v>
      </c>
      <c r="E150" t="s">
        <v>53</v>
      </c>
      <c r="F150" t="s">
        <v>439</v>
      </c>
      <c r="G150" t="str">
        <f>"00500445"</f>
        <v>00500445</v>
      </c>
      <c r="H150">
        <v>37.76</v>
      </c>
      <c r="I150">
        <v>0</v>
      </c>
      <c r="M150">
        <v>0</v>
      </c>
      <c r="N150">
        <v>4</v>
      </c>
      <c r="O150">
        <v>2</v>
      </c>
      <c r="P150">
        <v>43.76</v>
      </c>
      <c r="Q150">
        <v>79</v>
      </c>
      <c r="R150">
        <v>79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79</v>
      </c>
      <c r="Z150">
        <v>6</v>
      </c>
      <c r="AA150">
        <v>0</v>
      </c>
      <c r="AC150">
        <v>128.76</v>
      </c>
    </row>
    <row r="151" spans="1:29">
      <c r="A151">
        <v>144</v>
      </c>
      <c r="B151">
        <v>1457</v>
      </c>
      <c r="C151" t="s">
        <v>257</v>
      </c>
      <c r="D151" t="s">
        <v>433</v>
      </c>
      <c r="E151" t="s">
        <v>122</v>
      </c>
      <c r="F151" t="s">
        <v>440</v>
      </c>
      <c r="G151" t="str">
        <f>"00530129"</f>
        <v>00530129</v>
      </c>
      <c r="H151">
        <v>23.72</v>
      </c>
      <c r="I151">
        <v>0</v>
      </c>
      <c r="M151">
        <v>0</v>
      </c>
      <c r="N151">
        <v>4</v>
      </c>
      <c r="O151">
        <v>2</v>
      </c>
      <c r="P151">
        <v>29.72</v>
      </c>
      <c r="Q151">
        <v>99</v>
      </c>
      <c r="R151">
        <v>99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99</v>
      </c>
      <c r="Z151">
        <v>0</v>
      </c>
      <c r="AA151">
        <v>0</v>
      </c>
      <c r="AC151">
        <v>128.72</v>
      </c>
    </row>
    <row r="152" spans="1:29">
      <c r="A152">
        <v>145</v>
      </c>
      <c r="B152">
        <v>1696</v>
      </c>
      <c r="C152" t="s">
        <v>441</v>
      </c>
      <c r="D152" t="s">
        <v>28</v>
      </c>
      <c r="E152" t="s">
        <v>28</v>
      </c>
      <c r="F152" t="s">
        <v>442</v>
      </c>
      <c r="G152" t="str">
        <f>"00503843"</f>
        <v>00503843</v>
      </c>
      <c r="H152">
        <v>57.6</v>
      </c>
      <c r="I152">
        <v>10</v>
      </c>
      <c r="J152">
        <v>8</v>
      </c>
      <c r="M152">
        <v>8</v>
      </c>
      <c r="N152">
        <v>4</v>
      </c>
      <c r="O152">
        <v>2</v>
      </c>
      <c r="P152">
        <v>81.599999999999994</v>
      </c>
      <c r="Q152">
        <v>47</v>
      </c>
      <c r="R152">
        <v>47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47</v>
      </c>
      <c r="Z152">
        <v>0</v>
      </c>
      <c r="AA152">
        <v>0</v>
      </c>
      <c r="AC152">
        <v>128.6</v>
      </c>
    </row>
    <row r="153" spans="1:29">
      <c r="A153">
        <v>146</v>
      </c>
      <c r="B153">
        <v>4002</v>
      </c>
      <c r="C153" t="s">
        <v>443</v>
      </c>
      <c r="D153" t="s">
        <v>185</v>
      </c>
      <c r="E153" t="s">
        <v>227</v>
      </c>
      <c r="F153" t="s">
        <v>444</v>
      </c>
      <c r="G153" t="str">
        <f>"00148570"</f>
        <v>00148570</v>
      </c>
      <c r="H153">
        <v>14.4</v>
      </c>
      <c r="I153">
        <v>0</v>
      </c>
      <c r="M153">
        <v>0</v>
      </c>
      <c r="N153">
        <v>4</v>
      </c>
      <c r="O153">
        <v>0</v>
      </c>
      <c r="P153">
        <v>18.399999999999999</v>
      </c>
      <c r="Q153">
        <v>104</v>
      </c>
      <c r="R153">
        <v>104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104</v>
      </c>
      <c r="Z153">
        <v>6</v>
      </c>
      <c r="AA153">
        <v>0</v>
      </c>
      <c r="AC153">
        <v>128.4</v>
      </c>
    </row>
    <row r="154" spans="1:29">
      <c r="A154">
        <v>147</v>
      </c>
      <c r="B154">
        <v>2119</v>
      </c>
      <c r="C154" t="s">
        <v>445</v>
      </c>
      <c r="D154" t="s">
        <v>27</v>
      </c>
      <c r="E154" t="s">
        <v>115</v>
      </c>
      <c r="F154" t="s">
        <v>446</v>
      </c>
      <c r="G154" t="str">
        <f>"00163879"</f>
        <v>00163879</v>
      </c>
      <c r="H154">
        <v>50.4</v>
      </c>
      <c r="I154">
        <v>10</v>
      </c>
      <c r="L154">
        <v>4</v>
      </c>
      <c r="M154">
        <v>4</v>
      </c>
      <c r="N154">
        <v>4</v>
      </c>
      <c r="O154">
        <v>2</v>
      </c>
      <c r="P154">
        <v>70.400000000000006</v>
      </c>
      <c r="Q154">
        <v>58</v>
      </c>
      <c r="R154">
        <v>58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58</v>
      </c>
      <c r="Z154">
        <v>0</v>
      </c>
      <c r="AA154">
        <v>0</v>
      </c>
      <c r="AC154">
        <v>128.4</v>
      </c>
    </row>
    <row r="155" spans="1:29">
      <c r="A155">
        <v>148</v>
      </c>
      <c r="B155">
        <v>925</v>
      </c>
      <c r="C155" t="s">
        <v>447</v>
      </c>
      <c r="D155" t="s">
        <v>448</v>
      </c>
      <c r="E155" t="s">
        <v>134</v>
      </c>
      <c r="F155" t="s">
        <v>449</v>
      </c>
      <c r="G155" t="str">
        <f>"00151347"</f>
        <v>00151347</v>
      </c>
      <c r="H155">
        <v>43.2</v>
      </c>
      <c r="I155">
        <v>10</v>
      </c>
      <c r="L155">
        <v>4</v>
      </c>
      <c r="M155">
        <v>4</v>
      </c>
      <c r="N155">
        <v>4</v>
      </c>
      <c r="O155">
        <v>2</v>
      </c>
      <c r="P155">
        <v>63.2</v>
      </c>
      <c r="Q155">
        <v>62</v>
      </c>
      <c r="R155">
        <v>62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62</v>
      </c>
      <c r="Z155">
        <v>3</v>
      </c>
      <c r="AA155">
        <v>0</v>
      </c>
      <c r="AC155">
        <v>128.19999999999999</v>
      </c>
    </row>
    <row r="156" spans="1:29">
      <c r="A156">
        <v>149</v>
      </c>
      <c r="B156">
        <v>1418</v>
      </c>
      <c r="C156" t="s">
        <v>450</v>
      </c>
      <c r="D156" t="s">
        <v>27</v>
      </c>
      <c r="E156" t="s">
        <v>451</v>
      </c>
      <c r="F156" t="s">
        <v>452</v>
      </c>
      <c r="G156" t="str">
        <f>"00157726"</f>
        <v>00157726</v>
      </c>
      <c r="H156">
        <v>38</v>
      </c>
      <c r="I156">
        <v>10</v>
      </c>
      <c r="J156">
        <v>8</v>
      </c>
      <c r="M156">
        <v>8</v>
      </c>
      <c r="N156">
        <v>4</v>
      </c>
      <c r="O156">
        <v>2</v>
      </c>
      <c r="P156">
        <v>62</v>
      </c>
      <c r="Q156">
        <v>60</v>
      </c>
      <c r="R156">
        <v>60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60</v>
      </c>
      <c r="Z156">
        <v>6</v>
      </c>
      <c r="AA156">
        <v>0</v>
      </c>
      <c r="AC156">
        <v>128</v>
      </c>
    </row>
    <row r="157" spans="1:29">
      <c r="A157">
        <v>150</v>
      </c>
      <c r="B157">
        <v>1071</v>
      </c>
      <c r="C157" t="s">
        <v>453</v>
      </c>
      <c r="D157" t="s">
        <v>216</v>
      </c>
      <c r="E157" t="s">
        <v>15</v>
      </c>
      <c r="F157" t="s">
        <v>454</v>
      </c>
      <c r="G157" t="str">
        <f>"00503018"</f>
        <v>00503018</v>
      </c>
      <c r="H157">
        <v>36</v>
      </c>
      <c r="I157">
        <v>10</v>
      </c>
      <c r="L157">
        <v>4</v>
      </c>
      <c r="M157">
        <v>4</v>
      </c>
      <c r="N157">
        <v>4</v>
      </c>
      <c r="O157">
        <v>2</v>
      </c>
      <c r="P157">
        <v>56</v>
      </c>
      <c r="Q157">
        <v>69</v>
      </c>
      <c r="R157">
        <v>69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69</v>
      </c>
      <c r="Z157">
        <v>3</v>
      </c>
      <c r="AA157">
        <v>0</v>
      </c>
      <c r="AC157">
        <v>128</v>
      </c>
    </row>
    <row r="158" spans="1:29">
      <c r="A158">
        <v>151</v>
      </c>
      <c r="B158">
        <v>1843</v>
      </c>
      <c r="C158" t="s">
        <v>455</v>
      </c>
      <c r="D158" t="s">
        <v>394</v>
      </c>
      <c r="E158" t="s">
        <v>60</v>
      </c>
      <c r="F158" t="s">
        <v>456</v>
      </c>
      <c r="G158" t="str">
        <f>"00503780"</f>
        <v>00503780</v>
      </c>
      <c r="H158">
        <v>32</v>
      </c>
      <c r="I158">
        <v>10</v>
      </c>
      <c r="L158">
        <v>4</v>
      </c>
      <c r="M158">
        <v>4</v>
      </c>
      <c r="N158">
        <v>4</v>
      </c>
      <c r="O158">
        <v>2</v>
      </c>
      <c r="P158">
        <v>52</v>
      </c>
      <c r="Q158">
        <v>73</v>
      </c>
      <c r="R158">
        <v>73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73</v>
      </c>
      <c r="Z158">
        <v>3</v>
      </c>
      <c r="AA158">
        <v>0</v>
      </c>
      <c r="AC158">
        <v>128</v>
      </c>
    </row>
    <row r="159" spans="1:29">
      <c r="A159">
        <v>152</v>
      </c>
      <c r="B159">
        <v>417</v>
      </c>
      <c r="C159" t="s">
        <v>457</v>
      </c>
      <c r="D159" t="s">
        <v>27</v>
      </c>
      <c r="E159" t="s">
        <v>28</v>
      </c>
      <c r="F159" t="s">
        <v>458</v>
      </c>
      <c r="G159" t="str">
        <f>"00255618"</f>
        <v>00255618</v>
      </c>
      <c r="H159">
        <v>28.8</v>
      </c>
      <c r="I159">
        <v>10</v>
      </c>
      <c r="J159">
        <v>8</v>
      </c>
      <c r="M159">
        <v>8</v>
      </c>
      <c r="N159">
        <v>4</v>
      </c>
      <c r="O159">
        <v>2</v>
      </c>
      <c r="P159">
        <v>52.8</v>
      </c>
      <c r="Q159">
        <v>69</v>
      </c>
      <c r="R159">
        <v>69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69</v>
      </c>
      <c r="Z159">
        <v>6</v>
      </c>
      <c r="AA159">
        <v>0</v>
      </c>
      <c r="AC159">
        <v>127.8</v>
      </c>
    </row>
    <row r="160" spans="1:29">
      <c r="A160">
        <v>153</v>
      </c>
      <c r="B160">
        <v>479</v>
      </c>
      <c r="C160" t="s">
        <v>459</v>
      </c>
      <c r="D160" t="s">
        <v>86</v>
      </c>
      <c r="E160" t="s">
        <v>460</v>
      </c>
      <c r="F160" t="s">
        <v>461</v>
      </c>
      <c r="G160" t="str">
        <f>"20160705524"</f>
        <v>20160705524</v>
      </c>
      <c r="H160">
        <v>32.880000000000003</v>
      </c>
      <c r="I160">
        <v>0</v>
      </c>
      <c r="L160">
        <v>4</v>
      </c>
      <c r="M160">
        <v>4</v>
      </c>
      <c r="N160">
        <v>4</v>
      </c>
      <c r="O160">
        <v>2</v>
      </c>
      <c r="P160">
        <v>42.88</v>
      </c>
      <c r="Q160">
        <v>55</v>
      </c>
      <c r="R160">
        <v>55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55</v>
      </c>
      <c r="Z160">
        <v>3</v>
      </c>
      <c r="AA160">
        <v>26.8</v>
      </c>
      <c r="AC160">
        <v>127.68</v>
      </c>
    </row>
    <row r="161" spans="1:29">
      <c r="A161">
        <v>154</v>
      </c>
      <c r="B161">
        <v>910</v>
      </c>
      <c r="C161" t="s">
        <v>462</v>
      </c>
      <c r="D161" t="s">
        <v>31</v>
      </c>
      <c r="E161" t="s">
        <v>134</v>
      </c>
      <c r="F161" t="s">
        <v>463</v>
      </c>
      <c r="G161" t="str">
        <f>"00510932"</f>
        <v>00510932</v>
      </c>
      <c r="H161">
        <v>57.6</v>
      </c>
      <c r="I161">
        <v>0</v>
      </c>
      <c r="J161">
        <v>8</v>
      </c>
      <c r="M161">
        <v>8</v>
      </c>
      <c r="N161">
        <v>4</v>
      </c>
      <c r="O161">
        <v>0</v>
      </c>
      <c r="P161">
        <v>69.599999999999994</v>
      </c>
      <c r="Q161">
        <v>55</v>
      </c>
      <c r="R161">
        <v>55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55</v>
      </c>
      <c r="Z161">
        <v>3</v>
      </c>
      <c r="AA161">
        <v>0</v>
      </c>
      <c r="AC161">
        <v>127.6</v>
      </c>
    </row>
    <row r="162" spans="1:29">
      <c r="A162">
        <v>155</v>
      </c>
      <c r="B162">
        <v>1684</v>
      </c>
      <c r="C162" t="s">
        <v>464</v>
      </c>
      <c r="D162" t="s">
        <v>465</v>
      </c>
      <c r="E162" t="s">
        <v>156</v>
      </c>
      <c r="F162" t="s">
        <v>466</v>
      </c>
      <c r="G162" t="str">
        <f>"00512362"</f>
        <v>00512362</v>
      </c>
      <c r="H162">
        <v>57.6</v>
      </c>
      <c r="I162">
        <v>10</v>
      </c>
      <c r="M162">
        <v>0</v>
      </c>
      <c r="N162">
        <v>4</v>
      </c>
      <c r="O162">
        <v>0</v>
      </c>
      <c r="P162">
        <v>71.599999999999994</v>
      </c>
      <c r="Q162">
        <v>56</v>
      </c>
      <c r="R162">
        <v>56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56</v>
      </c>
      <c r="Z162">
        <v>0</v>
      </c>
      <c r="AA162">
        <v>0</v>
      </c>
      <c r="AC162">
        <v>127.6</v>
      </c>
    </row>
    <row r="163" spans="1:29">
      <c r="A163">
        <v>156</v>
      </c>
      <c r="B163">
        <v>2925</v>
      </c>
      <c r="C163" t="s">
        <v>467</v>
      </c>
      <c r="D163" t="s">
        <v>164</v>
      </c>
      <c r="E163" t="s">
        <v>66</v>
      </c>
      <c r="F163" t="s">
        <v>468</v>
      </c>
      <c r="G163" t="str">
        <f>"00525481"</f>
        <v>00525481</v>
      </c>
      <c r="H163">
        <v>21.6</v>
      </c>
      <c r="I163">
        <v>0</v>
      </c>
      <c r="M163">
        <v>0</v>
      </c>
      <c r="N163">
        <v>4</v>
      </c>
      <c r="O163">
        <v>2</v>
      </c>
      <c r="P163">
        <v>27.6</v>
      </c>
      <c r="Q163">
        <v>100</v>
      </c>
      <c r="R163">
        <v>100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100</v>
      </c>
      <c r="Z163">
        <v>0</v>
      </c>
      <c r="AA163">
        <v>0</v>
      </c>
      <c r="AC163">
        <v>127.6</v>
      </c>
    </row>
    <row r="164" spans="1:29">
      <c r="A164">
        <v>157</v>
      </c>
      <c r="B164">
        <v>3568</v>
      </c>
      <c r="C164" t="s">
        <v>469</v>
      </c>
      <c r="D164" t="s">
        <v>179</v>
      </c>
      <c r="E164" t="s">
        <v>115</v>
      </c>
      <c r="F164" t="s">
        <v>470</v>
      </c>
      <c r="G164" t="str">
        <f>"00529712"</f>
        <v>00529712</v>
      </c>
      <c r="H164">
        <v>50.4</v>
      </c>
      <c r="I164">
        <v>10</v>
      </c>
      <c r="M164">
        <v>0</v>
      </c>
      <c r="N164">
        <v>4</v>
      </c>
      <c r="O164">
        <v>2</v>
      </c>
      <c r="P164">
        <v>66.400000000000006</v>
      </c>
      <c r="Q164">
        <v>61</v>
      </c>
      <c r="R164">
        <v>61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61</v>
      </c>
      <c r="Z164">
        <v>0</v>
      </c>
      <c r="AA164">
        <v>0</v>
      </c>
      <c r="AC164">
        <v>127.4</v>
      </c>
    </row>
    <row r="165" spans="1:29">
      <c r="A165">
        <v>158</v>
      </c>
      <c r="B165">
        <v>989</v>
      </c>
      <c r="C165" t="s">
        <v>471</v>
      </c>
      <c r="D165" t="s">
        <v>49</v>
      </c>
      <c r="E165" t="s">
        <v>18</v>
      </c>
      <c r="F165" t="s">
        <v>472</v>
      </c>
      <c r="G165" t="str">
        <f>"00291075"</f>
        <v>00291075</v>
      </c>
      <c r="H165">
        <v>50.4</v>
      </c>
      <c r="I165">
        <v>10</v>
      </c>
      <c r="L165">
        <v>4</v>
      </c>
      <c r="M165">
        <v>4</v>
      </c>
      <c r="N165">
        <v>4</v>
      </c>
      <c r="O165">
        <v>2</v>
      </c>
      <c r="P165">
        <v>70.400000000000006</v>
      </c>
      <c r="Q165">
        <v>27</v>
      </c>
      <c r="R165">
        <v>27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27</v>
      </c>
      <c r="Z165">
        <v>3</v>
      </c>
      <c r="AA165">
        <v>26.8</v>
      </c>
      <c r="AC165">
        <v>127.2</v>
      </c>
    </row>
    <row r="166" spans="1:29">
      <c r="A166">
        <v>159</v>
      </c>
      <c r="B166">
        <v>3007</v>
      </c>
      <c r="C166" t="s">
        <v>260</v>
      </c>
      <c r="D166" t="s">
        <v>473</v>
      </c>
      <c r="E166" t="s">
        <v>375</v>
      </c>
      <c r="F166" t="s">
        <v>474</v>
      </c>
      <c r="G166" t="str">
        <f>"00532058"</f>
        <v>00532058</v>
      </c>
      <c r="H166">
        <v>7.2</v>
      </c>
      <c r="I166">
        <v>10</v>
      </c>
      <c r="L166">
        <v>8</v>
      </c>
      <c r="M166">
        <v>8</v>
      </c>
      <c r="N166">
        <v>4</v>
      </c>
      <c r="O166">
        <v>2</v>
      </c>
      <c r="P166">
        <v>31.2</v>
      </c>
      <c r="Q166">
        <v>90</v>
      </c>
      <c r="R166">
        <v>90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90</v>
      </c>
      <c r="Z166">
        <v>6</v>
      </c>
      <c r="AA166">
        <v>0</v>
      </c>
      <c r="AC166">
        <v>127.2</v>
      </c>
    </row>
    <row r="167" spans="1:29">
      <c r="A167">
        <v>160</v>
      </c>
      <c r="B167">
        <v>971</v>
      </c>
      <c r="C167" t="s">
        <v>475</v>
      </c>
      <c r="D167" t="s">
        <v>336</v>
      </c>
      <c r="E167" t="s">
        <v>36</v>
      </c>
      <c r="F167" t="s">
        <v>476</v>
      </c>
      <c r="G167" t="str">
        <f>"00153742"</f>
        <v>00153742</v>
      </c>
      <c r="H167">
        <v>43.2</v>
      </c>
      <c r="I167">
        <v>0</v>
      </c>
      <c r="M167">
        <v>0</v>
      </c>
      <c r="N167">
        <v>4</v>
      </c>
      <c r="O167">
        <v>2</v>
      </c>
      <c r="P167">
        <v>49.2</v>
      </c>
      <c r="Q167">
        <v>78</v>
      </c>
      <c r="R167">
        <v>78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78</v>
      </c>
      <c r="Z167">
        <v>0</v>
      </c>
      <c r="AA167">
        <v>0</v>
      </c>
      <c r="AC167">
        <v>127.2</v>
      </c>
    </row>
    <row r="168" spans="1:29">
      <c r="A168">
        <v>161</v>
      </c>
      <c r="B168">
        <v>1320</v>
      </c>
      <c r="C168" t="s">
        <v>477</v>
      </c>
      <c r="D168" t="s">
        <v>27</v>
      </c>
      <c r="E168" t="s">
        <v>478</v>
      </c>
      <c r="F168" t="s">
        <v>479</v>
      </c>
      <c r="G168" t="str">
        <f>"00532288"</f>
        <v>00532288</v>
      </c>
      <c r="H168">
        <v>26.92</v>
      </c>
      <c r="I168">
        <v>10</v>
      </c>
      <c r="L168">
        <v>4</v>
      </c>
      <c r="M168">
        <v>4</v>
      </c>
      <c r="N168">
        <v>0</v>
      </c>
      <c r="O168">
        <v>2</v>
      </c>
      <c r="P168">
        <v>42.92</v>
      </c>
      <c r="Q168">
        <v>78</v>
      </c>
      <c r="R168">
        <v>78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78</v>
      </c>
      <c r="Z168">
        <v>6</v>
      </c>
      <c r="AA168">
        <v>0</v>
      </c>
      <c r="AC168">
        <v>126.92</v>
      </c>
    </row>
    <row r="169" spans="1:29">
      <c r="A169">
        <v>162</v>
      </c>
      <c r="B169">
        <v>1149</v>
      </c>
      <c r="C169" t="s">
        <v>480</v>
      </c>
      <c r="D169" t="s">
        <v>481</v>
      </c>
      <c r="E169" t="s">
        <v>482</v>
      </c>
      <c r="F169" t="s">
        <v>483</v>
      </c>
      <c r="G169" t="str">
        <f>"00469337"</f>
        <v>00469337</v>
      </c>
      <c r="H169">
        <v>39.6</v>
      </c>
      <c r="I169">
        <v>10</v>
      </c>
      <c r="M169">
        <v>0</v>
      </c>
      <c r="N169">
        <v>4</v>
      </c>
      <c r="O169">
        <v>0</v>
      </c>
      <c r="P169">
        <v>53.6</v>
      </c>
      <c r="Q169">
        <v>70</v>
      </c>
      <c r="R169">
        <v>70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70</v>
      </c>
      <c r="Z169">
        <v>3</v>
      </c>
      <c r="AA169">
        <v>0</v>
      </c>
      <c r="AC169">
        <v>126.6</v>
      </c>
    </row>
    <row r="170" spans="1:29">
      <c r="A170">
        <v>163</v>
      </c>
      <c r="B170">
        <v>100</v>
      </c>
      <c r="C170" t="s">
        <v>484</v>
      </c>
      <c r="D170" t="s">
        <v>485</v>
      </c>
      <c r="E170" t="s">
        <v>227</v>
      </c>
      <c r="F170" t="s">
        <v>486</v>
      </c>
      <c r="G170" t="str">
        <f>"00501149"</f>
        <v>00501149</v>
      </c>
      <c r="H170">
        <v>57.6</v>
      </c>
      <c r="I170">
        <v>10</v>
      </c>
      <c r="M170">
        <v>0</v>
      </c>
      <c r="N170">
        <v>4</v>
      </c>
      <c r="O170">
        <v>2</v>
      </c>
      <c r="P170">
        <v>73.599999999999994</v>
      </c>
      <c r="Q170">
        <v>53</v>
      </c>
      <c r="R170">
        <v>53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53</v>
      </c>
      <c r="Z170">
        <v>0</v>
      </c>
      <c r="AA170">
        <v>0</v>
      </c>
      <c r="AC170">
        <v>126.6</v>
      </c>
    </row>
    <row r="171" spans="1:29">
      <c r="A171">
        <v>164</v>
      </c>
      <c r="B171">
        <v>2106</v>
      </c>
      <c r="C171" t="s">
        <v>487</v>
      </c>
      <c r="D171" t="s">
        <v>488</v>
      </c>
      <c r="E171" t="s">
        <v>15</v>
      </c>
      <c r="F171" t="s">
        <v>489</v>
      </c>
      <c r="G171" t="str">
        <f>"00524348"</f>
        <v>00524348</v>
      </c>
      <c r="H171">
        <v>57.6</v>
      </c>
      <c r="I171">
        <v>10</v>
      </c>
      <c r="M171">
        <v>0</v>
      </c>
      <c r="N171">
        <v>4</v>
      </c>
      <c r="O171">
        <v>0</v>
      </c>
      <c r="P171">
        <v>71.599999999999994</v>
      </c>
      <c r="Q171">
        <v>55</v>
      </c>
      <c r="R171">
        <v>55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55</v>
      </c>
      <c r="Z171">
        <v>0</v>
      </c>
      <c r="AA171">
        <v>0</v>
      </c>
      <c r="AC171">
        <v>126.6</v>
      </c>
    </row>
    <row r="172" spans="1:29">
      <c r="A172">
        <v>165</v>
      </c>
      <c r="B172">
        <v>1079</v>
      </c>
      <c r="C172" t="s">
        <v>490</v>
      </c>
      <c r="D172" t="s">
        <v>24</v>
      </c>
      <c r="E172" t="s">
        <v>12</v>
      </c>
      <c r="F172" t="s">
        <v>491</v>
      </c>
      <c r="G172" t="str">
        <f>"00517164"</f>
        <v>00517164</v>
      </c>
      <c r="H172">
        <v>57.6</v>
      </c>
      <c r="I172">
        <v>0</v>
      </c>
      <c r="L172">
        <v>4</v>
      </c>
      <c r="M172">
        <v>4</v>
      </c>
      <c r="N172">
        <v>4</v>
      </c>
      <c r="O172">
        <v>0</v>
      </c>
      <c r="P172">
        <v>65.599999999999994</v>
      </c>
      <c r="Q172">
        <v>61</v>
      </c>
      <c r="R172">
        <v>61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61</v>
      </c>
      <c r="Z172">
        <v>0</v>
      </c>
      <c r="AA172">
        <v>0</v>
      </c>
      <c r="AC172">
        <v>126.6</v>
      </c>
    </row>
    <row r="173" spans="1:29">
      <c r="A173">
        <v>166</v>
      </c>
      <c r="B173">
        <v>2629</v>
      </c>
      <c r="C173" t="s">
        <v>492</v>
      </c>
      <c r="D173" t="s">
        <v>493</v>
      </c>
      <c r="E173" t="s">
        <v>66</v>
      </c>
      <c r="F173" t="s">
        <v>494</v>
      </c>
      <c r="G173" t="str">
        <f>"00531495"</f>
        <v>00531495</v>
      </c>
      <c r="H173">
        <v>57.6</v>
      </c>
      <c r="I173">
        <v>0</v>
      </c>
      <c r="M173">
        <v>0</v>
      </c>
      <c r="N173">
        <v>4</v>
      </c>
      <c r="O173">
        <v>2</v>
      </c>
      <c r="P173">
        <v>63.6</v>
      </c>
      <c r="Q173">
        <v>63</v>
      </c>
      <c r="R173">
        <v>63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63</v>
      </c>
      <c r="Z173">
        <v>0</v>
      </c>
      <c r="AA173">
        <v>0</v>
      </c>
      <c r="AC173">
        <v>126.6</v>
      </c>
    </row>
    <row r="174" spans="1:29">
      <c r="A174">
        <v>167</v>
      </c>
      <c r="B174">
        <v>1678</v>
      </c>
      <c r="C174" t="s">
        <v>495</v>
      </c>
      <c r="D174" t="s">
        <v>496</v>
      </c>
      <c r="E174" t="s">
        <v>36</v>
      </c>
      <c r="F174" t="s">
        <v>497</v>
      </c>
      <c r="G174" t="str">
        <f>"00504116"</f>
        <v>00504116</v>
      </c>
      <c r="H174">
        <v>50.4</v>
      </c>
      <c r="I174">
        <v>0</v>
      </c>
      <c r="K174">
        <v>6</v>
      </c>
      <c r="L174">
        <v>4</v>
      </c>
      <c r="M174">
        <v>10</v>
      </c>
      <c r="N174">
        <v>4</v>
      </c>
      <c r="O174">
        <v>2</v>
      </c>
      <c r="P174">
        <v>66.400000000000006</v>
      </c>
      <c r="Q174">
        <v>60</v>
      </c>
      <c r="R174">
        <v>60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60</v>
      </c>
      <c r="Z174">
        <v>0</v>
      </c>
      <c r="AA174">
        <v>0</v>
      </c>
      <c r="AC174">
        <v>126.4</v>
      </c>
    </row>
    <row r="175" spans="1:29">
      <c r="A175">
        <v>168</v>
      </c>
      <c r="B175">
        <v>3617</v>
      </c>
      <c r="C175" t="s">
        <v>500</v>
      </c>
      <c r="D175" t="s">
        <v>95</v>
      </c>
      <c r="E175" t="s">
        <v>115</v>
      </c>
      <c r="F175" t="s">
        <v>501</v>
      </c>
      <c r="G175" t="str">
        <f>"00516699"</f>
        <v>00516699</v>
      </c>
      <c r="H175">
        <v>50.4</v>
      </c>
      <c r="I175">
        <v>0</v>
      </c>
      <c r="J175">
        <v>8</v>
      </c>
      <c r="L175">
        <v>4</v>
      </c>
      <c r="M175">
        <v>12</v>
      </c>
      <c r="N175">
        <v>0</v>
      </c>
      <c r="O175">
        <v>2</v>
      </c>
      <c r="P175">
        <v>64.400000000000006</v>
      </c>
      <c r="Q175">
        <v>62</v>
      </c>
      <c r="R175">
        <v>62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62</v>
      </c>
      <c r="Z175">
        <v>0</v>
      </c>
      <c r="AA175">
        <v>0</v>
      </c>
      <c r="AC175">
        <v>126.4</v>
      </c>
    </row>
    <row r="176" spans="1:29">
      <c r="A176">
        <v>169</v>
      </c>
      <c r="B176">
        <v>1245</v>
      </c>
      <c r="C176" t="s">
        <v>498</v>
      </c>
      <c r="D176" t="s">
        <v>27</v>
      </c>
      <c r="E176" t="s">
        <v>53</v>
      </c>
      <c r="F176" t="s">
        <v>499</v>
      </c>
      <c r="G176" t="str">
        <f>"00501104"</f>
        <v>00501104</v>
      </c>
      <c r="H176">
        <v>50.4</v>
      </c>
      <c r="I176">
        <v>0</v>
      </c>
      <c r="J176">
        <v>8</v>
      </c>
      <c r="M176">
        <v>8</v>
      </c>
      <c r="N176">
        <v>4</v>
      </c>
      <c r="O176">
        <v>2</v>
      </c>
      <c r="P176">
        <v>64.400000000000006</v>
      </c>
      <c r="Q176">
        <v>62</v>
      </c>
      <c r="R176">
        <v>62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62</v>
      </c>
      <c r="Z176">
        <v>0</v>
      </c>
      <c r="AA176">
        <v>0</v>
      </c>
      <c r="AC176">
        <v>126.4</v>
      </c>
    </row>
    <row r="177" spans="1:29">
      <c r="A177">
        <v>170</v>
      </c>
      <c r="B177">
        <v>276</v>
      </c>
      <c r="C177" t="s">
        <v>178</v>
      </c>
      <c r="D177" t="s">
        <v>20</v>
      </c>
      <c r="E177" t="s">
        <v>53</v>
      </c>
      <c r="F177" t="s">
        <v>502</v>
      </c>
      <c r="G177" t="str">
        <f>"00532808"</f>
        <v>00532808</v>
      </c>
      <c r="H177">
        <v>14.4</v>
      </c>
      <c r="I177">
        <v>0</v>
      </c>
      <c r="M177">
        <v>0</v>
      </c>
      <c r="N177">
        <v>4</v>
      </c>
      <c r="O177">
        <v>0</v>
      </c>
      <c r="P177">
        <v>18.399999999999999</v>
      </c>
      <c r="Q177">
        <v>108</v>
      </c>
      <c r="R177">
        <v>108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108</v>
      </c>
      <c r="Z177">
        <v>0</v>
      </c>
      <c r="AA177">
        <v>0</v>
      </c>
      <c r="AC177">
        <v>126.4</v>
      </c>
    </row>
    <row r="178" spans="1:29">
      <c r="A178">
        <v>171</v>
      </c>
      <c r="B178">
        <v>3491</v>
      </c>
      <c r="C178" t="s">
        <v>503</v>
      </c>
      <c r="D178" t="s">
        <v>27</v>
      </c>
      <c r="E178" t="s">
        <v>227</v>
      </c>
      <c r="F178" t="s">
        <v>504</v>
      </c>
      <c r="G178" t="str">
        <f>"00532285"</f>
        <v>00532285</v>
      </c>
      <c r="H178">
        <v>21.6</v>
      </c>
      <c r="I178">
        <v>0</v>
      </c>
      <c r="M178">
        <v>0</v>
      </c>
      <c r="N178">
        <v>4</v>
      </c>
      <c r="O178">
        <v>0</v>
      </c>
      <c r="P178">
        <v>25.6</v>
      </c>
      <c r="Q178">
        <v>62</v>
      </c>
      <c r="R178">
        <v>62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62</v>
      </c>
      <c r="Z178">
        <v>0</v>
      </c>
      <c r="AA178">
        <v>38.4</v>
      </c>
      <c r="AC178">
        <v>126</v>
      </c>
    </row>
    <row r="179" spans="1:29">
      <c r="A179">
        <v>172</v>
      </c>
      <c r="B179">
        <v>3437</v>
      </c>
      <c r="C179" t="s">
        <v>505</v>
      </c>
      <c r="D179" t="s">
        <v>52</v>
      </c>
      <c r="E179" t="s">
        <v>156</v>
      </c>
      <c r="F179" t="s">
        <v>506</v>
      </c>
      <c r="G179" t="str">
        <f>"00482830"</f>
        <v>00482830</v>
      </c>
      <c r="H179">
        <v>72</v>
      </c>
      <c r="I179">
        <v>0</v>
      </c>
      <c r="J179">
        <v>8</v>
      </c>
      <c r="M179">
        <v>8</v>
      </c>
      <c r="N179">
        <v>4</v>
      </c>
      <c r="O179">
        <v>2</v>
      </c>
      <c r="P179">
        <v>86</v>
      </c>
      <c r="Q179">
        <v>37</v>
      </c>
      <c r="R179">
        <v>37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37</v>
      </c>
      <c r="Z179">
        <v>3</v>
      </c>
      <c r="AA179">
        <v>0</v>
      </c>
      <c r="AC179">
        <v>126</v>
      </c>
    </row>
    <row r="180" spans="1:29">
      <c r="A180">
        <v>173</v>
      </c>
      <c r="B180">
        <v>480</v>
      </c>
      <c r="C180" t="s">
        <v>507</v>
      </c>
      <c r="D180" t="s">
        <v>27</v>
      </c>
      <c r="E180" t="s">
        <v>18</v>
      </c>
      <c r="F180" t="s">
        <v>508</v>
      </c>
      <c r="G180" t="str">
        <f>"00510962"</f>
        <v>00510962</v>
      </c>
      <c r="H180">
        <v>36</v>
      </c>
      <c r="I180">
        <v>10</v>
      </c>
      <c r="M180">
        <v>0</v>
      </c>
      <c r="N180">
        <v>4</v>
      </c>
      <c r="O180">
        <v>2</v>
      </c>
      <c r="P180">
        <v>52</v>
      </c>
      <c r="Q180">
        <v>71</v>
      </c>
      <c r="R180">
        <v>71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71</v>
      </c>
      <c r="Z180">
        <v>3</v>
      </c>
      <c r="AA180">
        <v>0</v>
      </c>
      <c r="AC180">
        <v>126</v>
      </c>
    </row>
    <row r="181" spans="1:29">
      <c r="A181">
        <v>174</v>
      </c>
      <c r="B181">
        <v>688</v>
      </c>
      <c r="C181" t="s">
        <v>509</v>
      </c>
      <c r="D181" t="s">
        <v>510</v>
      </c>
      <c r="E181" t="s">
        <v>134</v>
      </c>
      <c r="F181" t="s">
        <v>511</v>
      </c>
      <c r="G181" t="str">
        <f>"00488167"</f>
        <v>00488167</v>
      </c>
      <c r="H181">
        <v>36</v>
      </c>
      <c r="I181">
        <v>10</v>
      </c>
      <c r="M181">
        <v>0</v>
      </c>
      <c r="N181">
        <v>4</v>
      </c>
      <c r="O181">
        <v>2</v>
      </c>
      <c r="P181">
        <v>52</v>
      </c>
      <c r="Q181">
        <v>74</v>
      </c>
      <c r="R181">
        <v>74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74</v>
      </c>
      <c r="Z181">
        <v>0</v>
      </c>
      <c r="AA181">
        <v>0</v>
      </c>
      <c r="AC181">
        <v>126</v>
      </c>
    </row>
    <row r="182" spans="1:29">
      <c r="A182">
        <v>175</v>
      </c>
      <c r="B182">
        <v>1840</v>
      </c>
      <c r="C182" t="s">
        <v>91</v>
      </c>
      <c r="D182" t="s">
        <v>86</v>
      </c>
      <c r="E182" t="s">
        <v>134</v>
      </c>
      <c r="F182" t="s">
        <v>512</v>
      </c>
      <c r="G182" t="str">
        <f>"00482150"</f>
        <v>00482150</v>
      </c>
      <c r="H182">
        <v>36</v>
      </c>
      <c r="I182">
        <v>0</v>
      </c>
      <c r="L182">
        <v>4</v>
      </c>
      <c r="M182">
        <v>4</v>
      </c>
      <c r="N182">
        <v>4</v>
      </c>
      <c r="O182">
        <v>2</v>
      </c>
      <c r="P182">
        <v>46</v>
      </c>
      <c r="Q182">
        <v>80</v>
      </c>
      <c r="R182">
        <v>80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80</v>
      </c>
      <c r="Z182">
        <v>0</v>
      </c>
      <c r="AA182">
        <v>0</v>
      </c>
      <c r="AC182">
        <v>126</v>
      </c>
    </row>
    <row r="183" spans="1:29">
      <c r="A183">
        <v>176</v>
      </c>
      <c r="B183">
        <v>264</v>
      </c>
      <c r="C183" t="s">
        <v>513</v>
      </c>
      <c r="D183" t="s">
        <v>514</v>
      </c>
      <c r="E183" t="s">
        <v>515</v>
      </c>
      <c r="F183" t="s">
        <v>516</v>
      </c>
      <c r="G183" t="str">
        <f>"00511312"</f>
        <v>00511312</v>
      </c>
      <c r="H183">
        <v>0</v>
      </c>
      <c r="I183">
        <v>0</v>
      </c>
      <c r="L183">
        <v>4</v>
      </c>
      <c r="M183">
        <v>4</v>
      </c>
      <c r="N183">
        <v>4</v>
      </c>
      <c r="O183">
        <v>2</v>
      </c>
      <c r="P183">
        <v>10</v>
      </c>
      <c r="Q183">
        <v>116</v>
      </c>
      <c r="R183">
        <v>116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116</v>
      </c>
      <c r="Z183">
        <v>0</v>
      </c>
      <c r="AA183">
        <v>0</v>
      </c>
      <c r="AC183">
        <v>126</v>
      </c>
    </row>
    <row r="184" spans="1:29">
      <c r="A184">
        <v>177</v>
      </c>
      <c r="B184">
        <v>799</v>
      </c>
      <c r="C184" t="s">
        <v>517</v>
      </c>
      <c r="D184" t="s">
        <v>130</v>
      </c>
      <c r="E184" t="s">
        <v>36</v>
      </c>
      <c r="F184" t="s">
        <v>518</v>
      </c>
      <c r="G184" t="str">
        <f>"00473423"</f>
        <v>00473423</v>
      </c>
      <c r="H184">
        <v>64.8</v>
      </c>
      <c r="I184">
        <v>10</v>
      </c>
      <c r="K184">
        <v>6</v>
      </c>
      <c r="M184">
        <v>6</v>
      </c>
      <c r="N184">
        <v>4</v>
      </c>
      <c r="O184">
        <v>0</v>
      </c>
      <c r="P184">
        <v>84.8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9</v>
      </c>
      <c r="AA184">
        <v>32</v>
      </c>
      <c r="AC184">
        <v>125.8</v>
      </c>
    </row>
    <row r="185" spans="1:29">
      <c r="A185">
        <v>178</v>
      </c>
      <c r="B185">
        <v>2099</v>
      </c>
      <c r="C185" t="s">
        <v>519</v>
      </c>
      <c r="D185" t="s">
        <v>52</v>
      </c>
      <c r="E185" t="s">
        <v>32</v>
      </c>
      <c r="F185" t="s">
        <v>520</v>
      </c>
      <c r="G185" t="str">
        <f>"00152219"</f>
        <v>00152219</v>
      </c>
      <c r="H185">
        <v>28.8</v>
      </c>
      <c r="I185">
        <v>0</v>
      </c>
      <c r="L185">
        <v>4</v>
      </c>
      <c r="M185">
        <v>4</v>
      </c>
      <c r="N185">
        <v>0</v>
      </c>
      <c r="O185">
        <v>0</v>
      </c>
      <c r="P185">
        <v>32.799999999999997</v>
      </c>
      <c r="Q185">
        <v>87</v>
      </c>
      <c r="R185">
        <v>87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87</v>
      </c>
      <c r="Z185">
        <v>6</v>
      </c>
      <c r="AA185">
        <v>0</v>
      </c>
      <c r="AC185">
        <v>125.8</v>
      </c>
    </row>
    <row r="186" spans="1:29">
      <c r="A186">
        <v>179</v>
      </c>
      <c r="B186">
        <v>3562</v>
      </c>
      <c r="C186" t="s">
        <v>521</v>
      </c>
      <c r="D186" t="s">
        <v>95</v>
      </c>
      <c r="E186" t="s">
        <v>79</v>
      </c>
      <c r="F186" t="s">
        <v>522</v>
      </c>
      <c r="G186" t="str">
        <f>"00442548"</f>
        <v>00442548</v>
      </c>
      <c r="H186">
        <v>64.8</v>
      </c>
      <c r="I186">
        <v>10</v>
      </c>
      <c r="J186">
        <v>8</v>
      </c>
      <c r="M186">
        <v>8</v>
      </c>
      <c r="N186">
        <v>4</v>
      </c>
      <c r="O186">
        <v>2</v>
      </c>
      <c r="P186">
        <v>88.8</v>
      </c>
      <c r="Q186">
        <v>37</v>
      </c>
      <c r="R186">
        <v>37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37</v>
      </c>
      <c r="Z186">
        <v>0</v>
      </c>
      <c r="AA186">
        <v>0</v>
      </c>
      <c r="AC186">
        <v>125.8</v>
      </c>
    </row>
    <row r="187" spans="1:29">
      <c r="A187">
        <v>180</v>
      </c>
      <c r="B187">
        <v>3508</v>
      </c>
      <c r="C187" t="s">
        <v>525</v>
      </c>
      <c r="D187" t="s">
        <v>185</v>
      </c>
      <c r="E187" t="s">
        <v>115</v>
      </c>
      <c r="F187" t="s">
        <v>526</v>
      </c>
      <c r="G187" t="str">
        <f>"00487248"</f>
        <v>00487248</v>
      </c>
      <c r="H187">
        <v>64.8</v>
      </c>
      <c r="I187">
        <v>10</v>
      </c>
      <c r="J187">
        <v>8</v>
      </c>
      <c r="M187">
        <v>8</v>
      </c>
      <c r="N187">
        <v>4</v>
      </c>
      <c r="O187">
        <v>2</v>
      </c>
      <c r="P187">
        <v>88.8</v>
      </c>
      <c r="Q187">
        <v>37</v>
      </c>
      <c r="R187">
        <v>37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37</v>
      </c>
      <c r="Z187">
        <v>0</v>
      </c>
      <c r="AA187">
        <v>0</v>
      </c>
      <c r="AC187">
        <v>125.8</v>
      </c>
    </row>
    <row r="188" spans="1:29">
      <c r="A188">
        <v>181</v>
      </c>
      <c r="B188">
        <v>1306</v>
      </c>
      <c r="C188" t="s">
        <v>523</v>
      </c>
      <c r="D188" t="s">
        <v>52</v>
      </c>
      <c r="E188" t="s">
        <v>15</v>
      </c>
      <c r="F188" t="s">
        <v>524</v>
      </c>
      <c r="G188" t="str">
        <f>"201406012859"</f>
        <v>201406012859</v>
      </c>
      <c r="H188">
        <v>64.8</v>
      </c>
      <c r="I188">
        <v>10</v>
      </c>
      <c r="J188">
        <v>8</v>
      </c>
      <c r="M188">
        <v>8</v>
      </c>
      <c r="N188">
        <v>4</v>
      </c>
      <c r="O188">
        <v>2</v>
      </c>
      <c r="P188">
        <v>88.8</v>
      </c>
      <c r="Q188">
        <v>37</v>
      </c>
      <c r="R188">
        <v>37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37</v>
      </c>
      <c r="Z188">
        <v>0</v>
      </c>
      <c r="AA188">
        <v>0</v>
      </c>
      <c r="AC188">
        <v>125.8</v>
      </c>
    </row>
    <row r="189" spans="1:29">
      <c r="A189">
        <v>182</v>
      </c>
      <c r="B189">
        <v>249</v>
      </c>
      <c r="C189" t="s">
        <v>527</v>
      </c>
      <c r="D189" t="s">
        <v>216</v>
      </c>
      <c r="E189" t="s">
        <v>36</v>
      </c>
      <c r="F189" t="s">
        <v>528</v>
      </c>
      <c r="G189" t="str">
        <f>"00441764"</f>
        <v>00441764</v>
      </c>
      <c r="H189">
        <v>64.8</v>
      </c>
      <c r="I189">
        <v>10</v>
      </c>
      <c r="M189">
        <v>0</v>
      </c>
      <c r="N189">
        <v>4</v>
      </c>
      <c r="O189">
        <v>0</v>
      </c>
      <c r="P189">
        <v>78.8</v>
      </c>
      <c r="Q189">
        <v>47</v>
      </c>
      <c r="R189">
        <v>47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47</v>
      </c>
      <c r="Z189">
        <v>0</v>
      </c>
      <c r="AA189">
        <v>0</v>
      </c>
      <c r="AC189">
        <v>125.8</v>
      </c>
    </row>
    <row r="190" spans="1:29">
      <c r="A190">
        <v>183</v>
      </c>
      <c r="B190">
        <v>1360</v>
      </c>
      <c r="C190" t="s">
        <v>529</v>
      </c>
      <c r="D190" t="s">
        <v>530</v>
      </c>
      <c r="E190" t="s">
        <v>187</v>
      </c>
      <c r="F190" t="s">
        <v>531</v>
      </c>
      <c r="G190" t="str">
        <f>"00503748"</f>
        <v>00503748</v>
      </c>
      <c r="H190">
        <v>14.4</v>
      </c>
      <c r="I190">
        <v>0</v>
      </c>
      <c r="J190">
        <v>8</v>
      </c>
      <c r="M190">
        <v>8</v>
      </c>
      <c r="N190">
        <v>4</v>
      </c>
      <c r="O190">
        <v>0</v>
      </c>
      <c r="P190">
        <v>26.4</v>
      </c>
      <c r="Q190">
        <v>90</v>
      </c>
      <c r="R190">
        <v>90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90</v>
      </c>
      <c r="Z190">
        <v>9</v>
      </c>
      <c r="AA190">
        <v>0</v>
      </c>
      <c r="AC190">
        <v>125.4</v>
      </c>
    </row>
    <row r="191" spans="1:29">
      <c r="A191">
        <v>184</v>
      </c>
      <c r="B191">
        <v>2547</v>
      </c>
      <c r="C191" t="s">
        <v>532</v>
      </c>
      <c r="D191" t="s">
        <v>49</v>
      </c>
      <c r="E191" t="s">
        <v>533</v>
      </c>
      <c r="F191" t="s">
        <v>534</v>
      </c>
      <c r="G191" t="str">
        <f>"00508104"</f>
        <v>00508104</v>
      </c>
      <c r="H191">
        <v>50.4</v>
      </c>
      <c r="I191">
        <v>0</v>
      </c>
      <c r="L191">
        <v>4</v>
      </c>
      <c r="M191">
        <v>4</v>
      </c>
      <c r="N191">
        <v>4</v>
      </c>
      <c r="O191">
        <v>2</v>
      </c>
      <c r="P191">
        <v>60.4</v>
      </c>
      <c r="Q191">
        <v>62</v>
      </c>
      <c r="R191">
        <v>62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62</v>
      </c>
      <c r="Z191">
        <v>3</v>
      </c>
      <c r="AA191">
        <v>0</v>
      </c>
      <c r="AC191">
        <v>125.4</v>
      </c>
    </row>
    <row r="192" spans="1:29">
      <c r="A192">
        <v>185</v>
      </c>
      <c r="B192">
        <v>2839</v>
      </c>
      <c r="C192" t="s">
        <v>535</v>
      </c>
      <c r="D192" t="s">
        <v>185</v>
      </c>
      <c r="E192" t="s">
        <v>79</v>
      </c>
      <c r="F192" t="s">
        <v>536</v>
      </c>
      <c r="G192" t="str">
        <f>"00533215"</f>
        <v>00533215</v>
      </c>
      <c r="H192">
        <v>50.4</v>
      </c>
      <c r="I192">
        <v>10</v>
      </c>
      <c r="J192">
        <v>8</v>
      </c>
      <c r="M192">
        <v>8</v>
      </c>
      <c r="N192">
        <v>4</v>
      </c>
      <c r="O192">
        <v>2</v>
      </c>
      <c r="P192">
        <v>74.400000000000006</v>
      </c>
      <c r="Q192">
        <v>51</v>
      </c>
      <c r="R192">
        <v>51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51</v>
      </c>
      <c r="Z192">
        <v>0</v>
      </c>
      <c r="AA192">
        <v>0</v>
      </c>
      <c r="AC192">
        <v>125.4</v>
      </c>
    </row>
    <row r="193" spans="1:29">
      <c r="A193">
        <v>186</v>
      </c>
      <c r="B193">
        <v>987</v>
      </c>
      <c r="C193" t="s">
        <v>537</v>
      </c>
      <c r="D193" t="s">
        <v>86</v>
      </c>
      <c r="E193" t="s">
        <v>79</v>
      </c>
      <c r="F193" t="s">
        <v>538</v>
      </c>
      <c r="G193" t="str">
        <f>"00480740"</f>
        <v>00480740</v>
      </c>
      <c r="H193">
        <v>36</v>
      </c>
      <c r="I193">
        <v>0</v>
      </c>
      <c r="M193">
        <v>0</v>
      </c>
      <c r="N193">
        <v>4</v>
      </c>
      <c r="O193">
        <v>0</v>
      </c>
      <c r="P193">
        <v>40</v>
      </c>
      <c r="Q193">
        <v>44</v>
      </c>
      <c r="R193">
        <v>44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44</v>
      </c>
      <c r="Z193">
        <v>6</v>
      </c>
      <c r="AA193">
        <v>35.200000000000003</v>
      </c>
      <c r="AC193">
        <v>125.2</v>
      </c>
    </row>
    <row r="194" spans="1:29">
      <c r="A194">
        <v>187</v>
      </c>
      <c r="B194">
        <v>900</v>
      </c>
      <c r="C194" t="s">
        <v>539</v>
      </c>
      <c r="D194" t="s">
        <v>98</v>
      </c>
      <c r="E194" t="s">
        <v>15</v>
      </c>
      <c r="F194" t="s">
        <v>540</v>
      </c>
      <c r="G194" t="str">
        <f>"00515048"</f>
        <v>00515048</v>
      </c>
      <c r="H194">
        <v>12</v>
      </c>
      <c r="I194">
        <v>0</v>
      </c>
      <c r="M194">
        <v>0</v>
      </c>
      <c r="N194">
        <v>4</v>
      </c>
      <c r="O194">
        <v>0</v>
      </c>
      <c r="P194">
        <v>16</v>
      </c>
      <c r="Q194">
        <v>100</v>
      </c>
      <c r="R194">
        <v>100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100</v>
      </c>
      <c r="Z194">
        <v>9</v>
      </c>
      <c r="AA194">
        <v>0</v>
      </c>
      <c r="AC194">
        <v>125</v>
      </c>
    </row>
    <row r="195" spans="1:29">
      <c r="A195">
        <v>188</v>
      </c>
      <c r="B195">
        <v>687</v>
      </c>
      <c r="C195" t="s">
        <v>541</v>
      </c>
      <c r="D195" t="s">
        <v>374</v>
      </c>
      <c r="E195" t="s">
        <v>53</v>
      </c>
      <c r="F195" t="s">
        <v>542</v>
      </c>
      <c r="G195" t="str">
        <f>"00503913"</f>
        <v>00503913</v>
      </c>
      <c r="H195">
        <v>72</v>
      </c>
      <c r="I195">
        <v>0</v>
      </c>
      <c r="L195">
        <v>4</v>
      </c>
      <c r="M195">
        <v>4</v>
      </c>
      <c r="N195">
        <v>4</v>
      </c>
      <c r="O195">
        <v>2</v>
      </c>
      <c r="P195">
        <v>82</v>
      </c>
      <c r="Q195">
        <v>37</v>
      </c>
      <c r="R195">
        <v>37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37</v>
      </c>
      <c r="Z195">
        <v>6</v>
      </c>
      <c r="AA195">
        <v>0</v>
      </c>
      <c r="AC195">
        <v>125</v>
      </c>
    </row>
    <row r="196" spans="1:29">
      <c r="A196">
        <v>189</v>
      </c>
      <c r="B196">
        <v>1113</v>
      </c>
      <c r="C196" t="s">
        <v>543</v>
      </c>
      <c r="D196" t="s">
        <v>544</v>
      </c>
      <c r="E196" t="s">
        <v>18</v>
      </c>
      <c r="F196" t="s">
        <v>545</v>
      </c>
      <c r="G196" t="str">
        <f>"00482802"</f>
        <v>00482802</v>
      </c>
      <c r="H196">
        <v>72</v>
      </c>
      <c r="I196">
        <v>10</v>
      </c>
      <c r="J196">
        <v>8</v>
      </c>
      <c r="M196">
        <v>8</v>
      </c>
      <c r="N196">
        <v>4</v>
      </c>
      <c r="O196">
        <v>0</v>
      </c>
      <c r="P196">
        <v>94</v>
      </c>
      <c r="Q196">
        <v>28</v>
      </c>
      <c r="R196">
        <v>28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28</v>
      </c>
      <c r="Z196">
        <v>3</v>
      </c>
      <c r="AA196">
        <v>0</v>
      </c>
      <c r="AC196">
        <v>125</v>
      </c>
    </row>
    <row r="197" spans="1:29">
      <c r="A197">
        <v>190</v>
      </c>
      <c r="B197">
        <v>1719</v>
      </c>
      <c r="C197" t="s">
        <v>546</v>
      </c>
      <c r="D197" t="s">
        <v>31</v>
      </c>
      <c r="E197" t="s">
        <v>15</v>
      </c>
      <c r="F197" t="s">
        <v>547</v>
      </c>
      <c r="G197" t="str">
        <f>"00442506"</f>
        <v>00442506</v>
      </c>
      <c r="H197">
        <v>28.8</v>
      </c>
      <c r="I197">
        <v>0</v>
      </c>
      <c r="J197">
        <v>8</v>
      </c>
      <c r="L197">
        <v>4</v>
      </c>
      <c r="M197">
        <v>12</v>
      </c>
      <c r="N197">
        <v>4</v>
      </c>
      <c r="O197">
        <v>0</v>
      </c>
      <c r="P197">
        <v>44.8</v>
      </c>
      <c r="Q197">
        <v>80</v>
      </c>
      <c r="R197">
        <v>80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80</v>
      </c>
      <c r="Z197">
        <v>0</v>
      </c>
      <c r="AA197">
        <v>0</v>
      </c>
      <c r="AC197">
        <v>124.8</v>
      </c>
    </row>
    <row r="198" spans="1:29">
      <c r="A198">
        <v>191</v>
      </c>
      <c r="B198">
        <v>4509</v>
      </c>
      <c r="C198" t="s">
        <v>548</v>
      </c>
      <c r="D198" t="s">
        <v>549</v>
      </c>
      <c r="E198" t="s">
        <v>550</v>
      </c>
      <c r="F198" t="s">
        <v>551</v>
      </c>
      <c r="G198" t="str">
        <f>"00481953"</f>
        <v>00481953</v>
      </c>
      <c r="H198">
        <v>31.6</v>
      </c>
      <c r="I198">
        <v>10</v>
      </c>
      <c r="M198">
        <v>0</v>
      </c>
      <c r="N198">
        <v>0</v>
      </c>
      <c r="O198">
        <v>0</v>
      </c>
      <c r="P198">
        <v>41.6</v>
      </c>
      <c r="Q198">
        <v>71</v>
      </c>
      <c r="R198">
        <v>71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71</v>
      </c>
      <c r="Z198">
        <v>12</v>
      </c>
      <c r="AA198">
        <v>0</v>
      </c>
      <c r="AC198">
        <v>124.6</v>
      </c>
    </row>
    <row r="199" spans="1:29">
      <c r="A199">
        <v>192</v>
      </c>
      <c r="B199">
        <v>4265</v>
      </c>
      <c r="C199" t="s">
        <v>342</v>
      </c>
      <c r="D199" t="s">
        <v>69</v>
      </c>
      <c r="E199" t="s">
        <v>89</v>
      </c>
      <c r="F199" t="s">
        <v>552</v>
      </c>
      <c r="G199" t="str">
        <f>"00441831"</f>
        <v>00441831</v>
      </c>
      <c r="H199">
        <v>57.6</v>
      </c>
      <c r="I199">
        <v>10</v>
      </c>
      <c r="M199">
        <v>0</v>
      </c>
      <c r="N199">
        <v>4</v>
      </c>
      <c r="O199">
        <v>2</v>
      </c>
      <c r="P199">
        <v>73.599999999999994</v>
      </c>
      <c r="Q199">
        <v>45</v>
      </c>
      <c r="R199">
        <v>45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45</v>
      </c>
      <c r="Z199">
        <v>6</v>
      </c>
      <c r="AA199">
        <v>0</v>
      </c>
      <c r="AC199">
        <v>124.6</v>
      </c>
    </row>
    <row r="200" spans="1:29">
      <c r="A200">
        <v>193</v>
      </c>
      <c r="B200">
        <v>1365</v>
      </c>
      <c r="C200" t="s">
        <v>553</v>
      </c>
      <c r="D200" t="s">
        <v>554</v>
      </c>
      <c r="E200" t="s">
        <v>156</v>
      </c>
      <c r="F200" t="s">
        <v>555</v>
      </c>
      <c r="G200" t="str">
        <f>"00206589"</f>
        <v>00206589</v>
      </c>
      <c r="H200">
        <v>21.6</v>
      </c>
      <c r="I200">
        <v>10</v>
      </c>
      <c r="M200">
        <v>0</v>
      </c>
      <c r="N200">
        <v>4</v>
      </c>
      <c r="O200">
        <v>0</v>
      </c>
      <c r="P200">
        <v>35.6</v>
      </c>
      <c r="Q200">
        <v>83</v>
      </c>
      <c r="R200">
        <v>83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83</v>
      </c>
      <c r="Z200">
        <v>6</v>
      </c>
      <c r="AA200">
        <v>0</v>
      </c>
      <c r="AC200">
        <v>124.6</v>
      </c>
    </row>
    <row r="201" spans="1:29">
      <c r="A201">
        <v>194</v>
      </c>
      <c r="B201">
        <v>3790</v>
      </c>
      <c r="C201" t="s">
        <v>556</v>
      </c>
      <c r="D201" t="s">
        <v>557</v>
      </c>
      <c r="E201" t="s">
        <v>53</v>
      </c>
      <c r="F201" t="s">
        <v>558</v>
      </c>
      <c r="G201" t="str">
        <f>"00477622"</f>
        <v>00477622</v>
      </c>
      <c r="H201">
        <v>57.6</v>
      </c>
      <c r="I201">
        <v>0</v>
      </c>
      <c r="J201">
        <v>8</v>
      </c>
      <c r="M201">
        <v>8</v>
      </c>
      <c r="N201">
        <v>4</v>
      </c>
      <c r="O201">
        <v>0</v>
      </c>
      <c r="P201">
        <v>69.599999999999994</v>
      </c>
      <c r="Q201">
        <v>55</v>
      </c>
      <c r="R201">
        <v>55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55</v>
      </c>
      <c r="Z201">
        <v>0</v>
      </c>
      <c r="AA201">
        <v>0</v>
      </c>
      <c r="AC201">
        <v>124.6</v>
      </c>
    </row>
    <row r="202" spans="1:29">
      <c r="A202">
        <v>195</v>
      </c>
      <c r="B202">
        <v>3408</v>
      </c>
      <c r="C202" t="s">
        <v>559</v>
      </c>
      <c r="D202" t="s">
        <v>31</v>
      </c>
      <c r="E202" t="s">
        <v>122</v>
      </c>
      <c r="F202" t="s">
        <v>560</v>
      </c>
      <c r="G202" t="str">
        <f>"00527126"</f>
        <v>00527126</v>
      </c>
      <c r="H202">
        <v>50.4</v>
      </c>
      <c r="I202">
        <v>10</v>
      </c>
      <c r="J202">
        <v>8</v>
      </c>
      <c r="M202">
        <v>8</v>
      </c>
      <c r="N202">
        <v>4</v>
      </c>
      <c r="O202">
        <v>0</v>
      </c>
      <c r="P202">
        <v>72.400000000000006</v>
      </c>
      <c r="Q202">
        <v>52</v>
      </c>
      <c r="R202">
        <v>52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52</v>
      </c>
      <c r="Z202">
        <v>0</v>
      </c>
      <c r="AA202">
        <v>0</v>
      </c>
      <c r="AC202">
        <v>124.4</v>
      </c>
    </row>
    <row r="203" spans="1:29">
      <c r="A203">
        <v>196</v>
      </c>
      <c r="B203">
        <v>1659</v>
      </c>
      <c r="C203" t="s">
        <v>561</v>
      </c>
      <c r="D203" t="s">
        <v>39</v>
      </c>
      <c r="E203" t="s">
        <v>79</v>
      </c>
      <c r="F203" t="s">
        <v>562</v>
      </c>
      <c r="G203" t="str">
        <f>"201406006513"</f>
        <v>201406006513</v>
      </c>
      <c r="H203">
        <v>50.4</v>
      </c>
      <c r="I203">
        <v>10</v>
      </c>
      <c r="L203">
        <v>4</v>
      </c>
      <c r="M203">
        <v>4</v>
      </c>
      <c r="N203">
        <v>4</v>
      </c>
      <c r="O203">
        <v>2</v>
      </c>
      <c r="P203">
        <v>70.400000000000006</v>
      </c>
      <c r="Q203">
        <v>54</v>
      </c>
      <c r="R203">
        <v>54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54</v>
      </c>
      <c r="Z203">
        <v>0</v>
      </c>
      <c r="AA203">
        <v>0</v>
      </c>
      <c r="AC203">
        <v>124.4</v>
      </c>
    </row>
    <row r="204" spans="1:29">
      <c r="A204">
        <v>197</v>
      </c>
      <c r="B204">
        <v>2328</v>
      </c>
      <c r="C204" t="s">
        <v>563</v>
      </c>
      <c r="D204" t="s">
        <v>27</v>
      </c>
      <c r="E204" t="s">
        <v>564</v>
      </c>
      <c r="F204" t="s">
        <v>565</v>
      </c>
      <c r="G204" t="str">
        <f>"00483025"</f>
        <v>00483025</v>
      </c>
      <c r="H204">
        <v>26.28</v>
      </c>
      <c r="I204">
        <v>10</v>
      </c>
      <c r="J204">
        <v>8</v>
      </c>
      <c r="M204">
        <v>8</v>
      </c>
      <c r="N204">
        <v>4</v>
      </c>
      <c r="O204">
        <v>2</v>
      </c>
      <c r="P204">
        <v>50.28</v>
      </c>
      <c r="Q204">
        <v>74</v>
      </c>
      <c r="R204">
        <v>74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74</v>
      </c>
      <c r="Z204">
        <v>0</v>
      </c>
      <c r="AA204">
        <v>0</v>
      </c>
      <c r="AC204">
        <v>124.28</v>
      </c>
    </row>
    <row r="205" spans="1:29">
      <c r="A205">
        <v>198</v>
      </c>
      <c r="B205">
        <v>1246</v>
      </c>
      <c r="C205" t="s">
        <v>566</v>
      </c>
      <c r="D205" t="s">
        <v>98</v>
      </c>
      <c r="E205" t="s">
        <v>322</v>
      </c>
      <c r="F205" t="s">
        <v>567</v>
      </c>
      <c r="G205" t="str">
        <f>"00499057"</f>
        <v>00499057</v>
      </c>
      <c r="H205">
        <v>43.2</v>
      </c>
      <c r="I205">
        <v>10</v>
      </c>
      <c r="M205">
        <v>0</v>
      </c>
      <c r="N205">
        <v>4</v>
      </c>
      <c r="O205">
        <v>0</v>
      </c>
      <c r="P205">
        <v>57.2</v>
      </c>
      <c r="Q205">
        <v>61</v>
      </c>
      <c r="R205">
        <v>61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61</v>
      </c>
      <c r="Z205">
        <v>6</v>
      </c>
      <c r="AA205">
        <v>0</v>
      </c>
      <c r="AC205">
        <v>124.2</v>
      </c>
    </row>
    <row r="206" spans="1:29">
      <c r="A206">
        <v>199</v>
      </c>
      <c r="B206">
        <v>234</v>
      </c>
      <c r="C206" t="s">
        <v>568</v>
      </c>
      <c r="D206" t="s">
        <v>569</v>
      </c>
      <c r="E206" t="s">
        <v>18</v>
      </c>
      <c r="F206" t="s">
        <v>570</v>
      </c>
      <c r="G206" t="str">
        <f>"201412001855"</f>
        <v>201412001855</v>
      </c>
      <c r="H206">
        <v>32</v>
      </c>
      <c r="I206">
        <v>0</v>
      </c>
      <c r="L206">
        <v>8</v>
      </c>
      <c r="M206">
        <v>8</v>
      </c>
      <c r="N206">
        <v>4</v>
      </c>
      <c r="O206">
        <v>2</v>
      </c>
      <c r="P206">
        <v>46</v>
      </c>
      <c r="Q206">
        <v>78</v>
      </c>
      <c r="R206">
        <v>78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78</v>
      </c>
      <c r="Z206">
        <v>0</v>
      </c>
      <c r="AA206">
        <v>0</v>
      </c>
      <c r="AC206">
        <v>124</v>
      </c>
    </row>
    <row r="207" spans="1:29">
      <c r="A207">
        <v>200</v>
      </c>
      <c r="B207">
        <v>1143</v>
      </c>
      <c r="C207" t="s">
        <v>571</v>
      </c>
      <c r="D207" t="s">
        <v>473</v>
      </c>
      <c r="E207" t="s">
        <v>28</v>
      </c>
      <c r="F207" t="s">
        <v>572</v>
      </c>
      <c r="G207" t="str">
        <f>"00508598"</f>
        <v>00508598</v>
      </c>
      <c r="H207">
        <v>64.8</v>
      </c>
      <c r="I207">
        <v>10</v>
      </c>
      <c r="J207">
        <v>8</v>
      </c>
      <c r="M207">
        <v>8</v>
      </c>
      <c r="N207">
        <v>4</v>
      </c>
      <c r="O207">
        <v>2</v>
      </c>
      <c r="P207">
        <v>88.8</v>
      </c>
      <c r="Q207">
        <v>35</v>
      </c>
      <c r="R207">
        <v>35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35</v>
      </c>
      <c r="Z207">
        <v>0</v>
      </c>
      <c r="AA207">
        <v>0</v>
      </c>
      <c r="AC207">
        <v>123.8</v>
      </c>
    </row>
    <row r="208" spans="1:29">
      <c r="A208">
        <v>201</v>
      </c>
      <c r="B208">
        <v>2178</v>
      </c>
      <c r="C208" t="s">
        <v>573</v>
      </c>
      <c r="D208" t="s">
        <v>86</v>
      </c>
      <c r="E208" t="s">
        <v>410</v>
      </c>
      <c r="F208" t="s">
        <v>574</v>
      </c>
      <c r="G208" t="str">
        <f>"201110000099"</f>
        <v>201110000099</v>
      </c>
      <c r="H208">
        <v>64.8</v>
      </c>
      <c r="I208">
        <v>0</v>
      </c>
      <c r="J208">
        <v>8</v>
      </c>
      <c r="M208">
        <v>8</v>
      </c>
      <c r="N208">
        <v>4</v>
      </c>
      <c r="O208">
        <v>0</v>
      </c>
      <c r="P208">
        <v>76.8</v>
      </c>
      <c r="Q208">
        <v>47</v>
      </c>
      <c r="R208">
        <v>47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47</v>
      </c>
      <c r="Z208">
        <v>0</v>
      </c>
      <c r="AA208">
        <v>0</v>
      </c>
      <c r="AC208">
        <v>123.8</v>
      </c>
    </row>
    <row r="209" spans="1:29">
      <c r="A209">
        <v>202</v>
      </c>
      <c r="B209">
        <v>2709</v>
      </c>
      <c r="C209" t="s">
        <v>575</v>
      </c>
      <c r="D209" t="s">
        <v>35</v>
      </c>
      <c r="E209" t="s">
        <v>79</v>
      </c>
      <c r="F209" t="s">
        <v>576</v>
      </c>
      <c r="G209" t="str">
        <f>"00151941"</f>
        <v>00151941</v>
      </c>
      <c r="H209">
        <v>21.6</v>
      </c>
      <c r="I209">
        <v>0</v>
      </c>
      <c r="L209">
        <v>4</v>
      </c>
      <c r="M209">
        <v>4</v>
      </c>
      <c r="N209">
        <v>4</v>
      </c>
      <c r="O209">
        <v>2</v>
      </c>
      <c r="P209">
        <v>31.6</v>
      </c>
      <c r="Q209">
        <v>92</v>
      </c>
      <c r="R209">
        <v>92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92</v>
      </c>
      <c r="Z209">
        <v>0</v>
      </c>
      <c r="AA209">
        <v>0</v>
      </c>
      <c r="AC209">
        <v>123.6</v>
      </c>
    </row>
    <row r="210" spans="1:29">
      <c r="A210">
        <v>203</v>
      </c>
      <c r="B210">
        <v>3945</v>
      </c>
      <c r="C210" t="s">
        <v>577</v>
      </c>
      <c r="D210" t="s">
        <v>35</v>
      </c>
      <c r="E210" t="s">
        <v>190</v>
      </c>
      <c r="F210" t="s">
        <v>578</v>
      </c>
      <c r="G210" t="str">
        <f>"00516524"</f>
        <v>00516524</v>
      </c>
      <c r="H210">
        <v>38.56</v>
      </c>
      <c r="I210">
        <v>0</v>
      </c>
      <c r="M210">
        <v>0</v>
      </c>
      <c r="N210">
        <v>4</v>
      </c>
      <c r="O210">
        <v>2</v>
      </c>
      <c r="P210">
        <v>44.56</v>
      </c>
      <c r="Q210">
        <v>70</v>
      </c>
      <c r="R210">
        <v>70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70</v>
      </c>
      <c r="Z210">
        <v>9</v>
      </c>
      <c r="AA210">
        <v>0</v>
      </c>
      <c r="AC210">
        <v>123.56</v>
      </c>
    </row>
    <row r="211" spans="1:29">
      <c r="A211">
        <v>204</v>
      </c>
      <c r="B211">
        <v>2776</v>
      </c>
      <c r="C211" t="s">
        <v>579</v>
      </c>
      <c r="D211" t="s">
        <v>580</v>
      </c>
      <c r="E211" t="s">
        <v>581</v>
      </c>
      <c r="F211" t="s">
        <v>582</v>
      </c>
      <c r="G211" t="str">
        <f>"00509072"</f>
        <v>00509072</v>
      </c>
      <c r="H211">
        <v>16.52</v>
      </c>
      <c r="I211">
        <v>10</v>
      </c>
      <c r="M211">
        <v>0</v>
      </c>
      <c r="N211">
        <v>4</v>
      </c>
      <c r="O211">
        <v>0</v>
      </c>
      <c r="P211">
        <v>30.52</v>
      </c>
      <c r="Q211">
        <v>93</v>
      </c>
      <c r="R211">
        <v>93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93</v>
      </c>
      <c r="Z211">
        <v>0</v>
      </c>
      <c r="AA211">
        <v>0</v>
      </c>
      <c r="AC211">
        <v>123.52</v>
      </c>
    </row>
    <row r="212" spans="1:29">
      <c r="A212">
        <v>205</v>
      </c>
      <c r="B212">
        <v>3477</v>
      </c>
      <c r="C212" t="s">
        <v>583</v>
      </c>
      <c r="D212" t="s">
        <v>584</v>
      </c>
      <c r="E212" t="s">
        <v>585</v>
      </c>
      <c r="F212" t="s">
        <v>586</v>
      </c>
      <c r="G212" t="str">
        <f>"00483686"</f>
        <v>00483686</v>
      </c>
      <c r="H212">
        <v>50.4</v>
      </c>
      <c r="I212">
        <v>10</v>
      </c>
      <c r="L212">
        <v>4</v>
      </c>
      <c r="M212">
        <v>4</v>
      </c>
      <c r="N212">
        <v>4</v>
      </c>
      <c r="O212">
        <v>2</v>
      </c>
      <c r="P212">
        <v>70.400000000000006</v>
      </c>
      <c r="Q212">
        <v>50</v>
      </c>
      <c r="R212">
        <v>50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50</v>
      </c>
      <c r="Z212">
        <v>3</v>
      </c>
      <c r="AA212">
        <v>0</v>
      </c>
      <c r="AC212">
        <v>123.4</v>
      </c>
    </row>
    <row r="213" spans="1:29">
      <c r="A213">
        <v>206</v>
      </c>
      <c r="B213">
        <v>3070</v>
      </c>
      <c r="C213" t="s">
        <v>587</v>
      </c>
      <c r="D213" t="s">
        <v>588</v>
      </c>
      <c r="E213" t="s">
        <v>79</v>
      </c>
      <c r="F213" t="s">
        <v>589</v>
      </c>
      <c r="G213" t="str">
        <f>"201511036880"</f>
        <v>201511036880</v>
      </c>
      <c r="H213">
        <v>50.4</v>
      </c>
      <c r="I213">
        <v>0</v>
      </c>
      <c r="L213">
        <v>4</v>
      </c>
      <c r="M213">
        <v>4</v>
      </c>
      <c r="N213">
        <v>4</v>
      </c>
      <c r="O213">
        <v>2</v>
      </c>
      <c r="P213">
        <v>60.4</v>
      </c>
      <c r="Q213">
        <v>63</v>
      </c>
      <c r="R213">
        <v>63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63</v>
      </c>
      <c r="Z213">
        <v>0</v>
      </c>
      <c r="AA213">
        <v>0</v>
      </c>
      <c r="AC213">
        <v>123.4</v>
      </c>
    </row>
    <row r="214" spans="1:29">
      <c r="A214">
        <v>207</v>
      </c>
      <c r="B214">
        <v>2714</v>
      </c>
      <c r="C214" t="s">
        <v>590</v>
      </c>
      <c r="D214" t="s">
        <v>66</v>
      </c>
      <c r="E214" t="s">
        <v>227</v>
      </c>
      <c r="F214" t="s">
        <v>591</v>
      </c>
      <c r="G214" t="str">
        <f>"00441812"</f>
        <v>00441812</v>
      </c>
      <c r="H214">
        <v>0</v>
      </c>
      <c r="I214">
        <v>0</v>
      </c>
      <c r="L214">
        <v>4</v>
      </c>
      <c r="M214">
        <v>4</v>
      </c>
      <c r="N214">
        <v>4</v>
      </c>
      <c r="O214">
        <v>2</v>
      </c>
      <c r="P214">
        <v>10</v>
      </c>
      <c r="Q214">
        <v>107</v>
      </c>
      <c r="R214">
        <v>107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107</v>
      </c>
      <c r="Z214">
        <v>6</v>
      </c>
      <c r="AA214">
        <v>0</v>
      </c>
      <c r="AC214">
        <v>123</v>
      </c>
    </row>
    <row r="215" spans="1:29">
      <c r="A215">
        <v>208</v>
      </c>
      <c r="B215">
        <v>739</v>
      </c>
      <c r="C215" t="s">
        <v>592</v>
      </c>
      <c r="D215" t="s">
        <v>185</v>
      </c>
      <c r="E215" t="s">
        <v>134</v>
      </c>
      <c r="F215" t="s">
        <v>593</v>
      </c>
      <c r="G215" t="str">
        <f>"00518430"</f>
        <v>00518430</v>
      </c>
      <c r="H215">
        <v>72</v>
      </c>
      <c r="I215">
        <v>0</v>
      </c>
      <c r="J215">
        <v>8</v>
      </c>
      <c r="M215">
        <v>8</v>
      </c>
      <c r="N215">
        <v>4</v>
      </c>
      <c r="O215">
        <v>2</v>
      </c>
      <c r="P215">
        <v>86</v>
      </c>
      <c r="Q215">
        <v>37</v>
      </c>
      <c r="R215">
        <v>37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37</v>
      </c>
      <c r="Z215">
        <v>0</v>
      </c>
      <c r="AA215">
        <v>0</v>
      </c>
      <c r="AC215">
        <v>123</v>
      </c>
    </row>
    <row r="216" spans="1:29">
      <c r="A216">
        <v>209</v>
      </c>
      <c r="B216">
        <v>414</v>
      </c>
      <c r="C216" t="s">
        <v>594</v>
      </c>
      <c r="D216" t="s">
        <v>205</v>
      </c>
      <c r="E216" t="s">
        <v>36</v>
      </c>
      <c r="F216" t="s">
        <v>595</v>
      </c>
      <c r="G216" t="str">
        <f>"201511030223"</f>
        <v>201511030223</v>
      </c>
      <c r="H216">
        <v>64.8</v>
      </c>
      <c r="I216">
        <v>10</v>
      </c>
      <c r="M216">
        <v>0</v>
      </c>
      <c r="N216">
        <v>4</v>
      </c>
      <c r="O216">
        <v>0</v>
      </c>
      <c r="P216">
        <v>78.8</v>
      </c>
      <c r="Q216">
        <v>35</v>
      </c>
      <c r="R216">
        <v>35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35</v>
      </c>
      <c r="Z216">
        <v>9</v>
      </c>
      <c r="AA216">
        <v>0</v>
      </c>
      <c r="AC216">
        <v>122.8</v>
      </c>
    </row>
    <row r="217" spans="1:29">
      <c r="A217">
        <v>210</v>
      </c>
      <c r="B217">
        <v>746</v>
      </c>
      <c r="C217" t="s">
        <v>596</v>
      </c>
      <c r="D217" t="s">
        <v>544</v>
      </c>
      <c r="E217" t="s">
        <v>233</v>
      </c>
      <c r="F217" t="s">
        <v>597</v>
      </c>
      <c r="G217" t="str">
        <f>"00508510"</f>
        <v>00508510</v>
      </c>
      <c r="H217">
        <v>28.8</v>
      </c>
      <c r="I217">
        <v>0</v>
      </c>
      <c r="L217">
        <v>4</v>
      </c>
      <c r="M217">
        <v>4</v>
      </c>
      <c r="N217">
        <v>4</v>
      </c>
      <c r="O217">
        <v>0</v>
      </c>
      <c r="P217">
        <v>36.799999999999997</v>
      </c>
      <c r="Q217">
        <v>80</v>
      </c>
      <c r="R217">
        <v>80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80</v>
      </c>
      <c r="Z217">
        <v>6</v>
      </c>
      <c r="AA217">
        <v>0</v>
      </c>
      <c r="AC217">
        <v>122.8</v>
      </c>
    </row>
    <row r="218" spans="1:29">
      <c r="A218">
        <v>211</v>
      </c>
      <c r="B218">
        <v>409</v>
      </c>
      <c r="C218" t="s">
        <v>598</v>
      </c>
      <c r="D218" t="s">
        <v>52</v>
      </c>
      <c r="E218" t="s">
        <v>53</v>
      </c>
      <c r="F218" t="s">
        <v>599</v>
      </c>
      <c r="G218" t="str">
        <f>"00161242"</f>
        <v>00161242</v>
      </c>
      <c r="H218">
        <v>33.72</v>
      </c>
      <c r="I218">
        <v>10</v>
      </c>
      <c r="M218">
        <v>0</v>
      </c>
      <c r="N218">
        <v>4</v>
      </c>
      <c r="O218">
        <v>2</v>
      </c>
      <c r="P218">
        <v>49.72</v>
      </c>
      <c r="Q218">
        <v>67</v>
      </c>
      <c r="R218">
        <v>67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67</v>
      </c>
      <c r="Z218">
        <v>6</v>
      </c>
      <c r="AA218">
        <v>0</v>
      </c>
      <c r="AC218">
        <v>122.72</v>
      </c>
    </row>
    <row r="219" spans="1:29">
      <c r="A219">
        <v>212</v>
      </c>
      <c r="B219">
        <v>3823</v>
      </c>
      <c r="C219" t="s">
        <v>178</v>
      </c>
      <c r="D219" t="s">
        <v>95</v>
      </c>
      <c r="E219" t="s">
        <v>227</v>
      </c>
      <c r="F219" t="s">
        <v>600</v>
      </c>
      <c r="G219" t="str">
        <f>"201512003622"</f>
        <v>201512003622</v>
      </c>
      <c r="H219">
        <v>57.6</v>
      </c>
      <c r="I219">
        <v>10</v>
      </c>
      <c r="L219">
        <v>4</v>
      </c>
      <c r="M219">
        <v>4</v>
      </c>
      <c r="N219">
        <v>4</v>
      </c>
      <c r="O219">
        <v>0</v>
      </c>
      <c r="P219">
        <v>75.599999999999994</v>
      </c>
      <c r="Q219">
        <v>47</v>
      </c>
      <c r="R219">
        <v>47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47</v>
      </c>
      <c r="Z219">
        <v>0</v>
      </c>
      <c r="AA219">
        <v>0</v>
      </c>
      <c r="AC219">
        <v>122.6</v>
      </c>
    </row>
    <row r="220" spans="1:29">
      <c r="A220">
        <v>213</v>
      </c>
      <c r="B220">
        <v>4814</v>
      </c>
      <c r="C220" t="s">
        <v>601</v>
      </c>
      <c r="D220" t="s">
        <v>266</v>
      </c>
      <c r="E220" t="s">
        <v>28</v>
      </c>
      <c r="F220" t="s">
        <v>602</v>
      </c>
      <c r="G220" t="str">
        <f>"00163333"</f>
        <v>00163333</v>
      </c>
      <c r="H220">
        <v>36.44</v>
      </c>
      <c r="I220">
        <v>10</v>
      </c>
      <c r="M220">
        <v>0</v>
      </c>
      <c r="N220">
        <v>4</v>
      </c>
      <c r="O220">
        <v>2</v>
      </c>
      <c r="P220">
        <v>52.44</v>
      </c>
      <c r="Q220">
        <v>64</v>
      </c>
      <c r="R220">
        <v>64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64</v>
      </c>
      <c r="Z220">
        <v>6</v>
      </c>
      <c r="AA220">
        <v>0</v>
      </c>
      <c r="AC220">
        <v>122.44</v>
      </c>
    </row>
    <row r="221" spans="1:29">
      <c r="A221">
        <v>214</v>
      </c>
      <c r="B221">
        <v>4949</v>
      </c>
      <c r="C221" t="s">
        <v>603</v>
      </c>
      <c r="D221" t="s">
        <v>329</v>
      </c>
      <c r="E221" t="s">
        <v>79</v>
      </c>
      <c r="F221" t="s">
        <v>604</v>
      </c>
      <c r="G221" t="str">
        <f>"00520922"</f>
        <v>00520922</v>
      </c>
      <c r="H221">
        <v>72</v>
      </c>
      <c r="I221">
        <v>0</v>
      </c>
      <c r="J221">
        <v>8</v>
      </c>
      <c r="L221">
        <v>4</v>
      </c>
      <c r="M221">
        <v>12</v>
      </c>
      <c r="N221">
        <v>4</v>
      </c>
      <c r="O221">
        <v>2</v>
      </c>
      <c r="P221">
        <v>90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32.4</v>
      </c>
      <c r="AC221">
        <v>122.4</v>
      </c>
    </row>
    <row r="222" spans="1:29">
      <c r="A222">
        <v>215</v>
      </c>
      <c r="B222">
        <v>1083</v>
      </c>
      <c r="C222" t="s">
        <v>605</v>
      </c>
      <c r="D222" t="s">
        <v>52</v>
      </c>
      <c r="E222" t="s">
        <v>122</v>
      </c>
      <c r="F222" t="s">
        <v>606</v>
      </c>
      <c r="G222" t="str">
        <f>"00486108"</f>
        <v>00486108</v>
      </c>
      <c r="H222">
        <v>43.2</v>
      </c>
      <c r="I222">
        <v>10</v>
      </c>
      <c r="L222">
        <v>4</v>
      </c>
      <c r="M222">
        <v>4</v>
      </c>
      <c r="N222">
        <v>4</v>
      </c>
      <c r="O222">
        <v>2</v>
      </c>
      <c r="P222">
        <v>63.2</v>
      </c>
      <c r="Q222">
        <v>53</v>
      </c>
      <c r="R222">
        <v>53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53</v>
      </c>
      <c r="Z222">
        <v>6</v>
      </c>
      <c r="AA222">
        <v>0</v>
      </c>
      <c r="AC222">
        <v>122.2</v>
      </c>
    </row>
    <row r="223" spans="1:29">
      <c r="A223">
        <v>216</v>
      </c>
      <c r="B223">
        <v>1607</v>
      </c>
      <c r="C223" t="s">
        <v>607</v>
      </c>
      <c r="D223" t="s">
        <v>608</v>
      </c>
      <c r="E223" t="s">
        <v>18</v>
      </c>
      <c r="F223" t="s">
        <v>609</v>
      </c>
      <c r="G223" t="str">
        <f>"00441484"</f>
        <v>00441484</v>
      </c>
      <c r="H223">
        <v>43.2</v>
      </c>
      <c r="I223">
        <v>10</v>
      </c>
      <c r="L223">
        <v>4</v>
      </c>
      <c r="M223">
        <v>4</v>
      </c>
      <c r="N223">
        <v>4</v>
      </c>
      <c r="O223">
        <v>2</v>
      </c>
      <c r="P223">
        <v>63.2</v>
      </c>
      <c r="Q223">
        <v>53</v>
      </c>
      <c r="R223">
        <v>53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53</v>
      </c>
      <c r="Z223">
        <v>6</v>
      </c>
      <c r="AA223">
        <v>0</v>
      </c>
      <c r="AC223">
        <v>122.2</v>
      </c>
    </row>
    <row r="224" spans="1:29">
      <c r="A224">
        <v>217</v>
      </c>
      <c r="B224">
        <v>3808</v>
      </c>
      <c r="C224" t="s">
        <v>610</v>
      </c>
      <c r="D224" t="s">
        <v>216</v>
      </c>
      <c r="E224" t="s">
        <v>611</v>
      </c>
      <c r="F224" t="s">
        <v>612</v>
      </c>
      <c r="G224" t="str">
        <f>"00481675"</f>
        <v>00481675</v>
      </c>
      <c r="H224">
        <v>43.2</v>
      </c>
      <c r="I224">
        <v>10</v>
      </c>
      <c r="L224">
        <v>4</v>
      </c>
      <c r="M224">
        <v>4</v>
      </c>
      <c r="N224">
        <v>4</v>
      </c>
      <c r="O224">
        <v>0</v>
      </c>
      <c r="P224">
        <v>61.2</v>
      </c>
      <c r="Q224">
        <v>58</v>
      </c>
      <c r="R224">
        <v>58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58</v>
      </c>
      <c r="Z224">
        <v>3</v>
      </c>
      <c r="AA224">
        <v>0</v>
      </c>
      <c r="AC224">
        <v>122.2</v>
      </c>
    </row>
    <row r="225" spans="1:29">
      <c r="A225">
        <v>218</v>
      </c>
      <c r="B225">
        <v>604</v>
      </c>
      <c r="C225" t="s">
        <v>613</v>
      </c>
      <c r="D225" t="s">
        <v>266</v>
      </c>
      <c r="E225" t="s">
        <v>322</v>
      </c>
      <c r="F225" t="s">
        <v>614</v>
      </c>
      <c r="G225" t="str">
        <f>"00004910"</f>
        <v>00004910</v>
      </c>
      <c r="H225">
        <v>40</v>
      </c>
      <c r="I225">
        <v>10</v>
      </c>
      <c r="L225">
        <v>4</v>
      </c>
      <c r="M225">
        <v>4</v>
      </c>
      <c r="N225">
        <v>4</v>
      </c>
      <c r="O225">
        <v>2</v>
      </c>
      <c r="P225">
        <v>60</v>
      </c>
      <c r="Q225">
        <v>18</v>
      </c>
      <c r="R225">
        <v>18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18</v>
      </c>
      <c r="Z225">
        <v>6</v>
      </c>
      <c r="AA225">
        <v>38</v>
      </c>
      <c r="AC225">
        <v>122</v>
      </c>
    </row>
    <row r="226" spans="1:29">
      <c r="A226">
        <v>219</v>
      </c>
      <c r="B226">
        <v>755</v>
      </c>
      <c r="C226" t="s">
        <v>615</v>
      </c>
      <c r="D226" t="s">
        <v>31</v>
      </c>
      <c r="E226" t="s">
        <v>190</v>
      </c>
      <c r="F226" t="s">
        <v>616</v>
      </c>
      <c r="G226" t="str">
        <f>"00475251"</f>
        <v>00475251</v>
      </c>
      <c r="H226">
        <v>36.880000000000003</v>
      </c>
      <c r="I226">
        <v>10</v>
      </c>
      <c r="J226">
        <v>8</v>
      </c>
      <c r="M226">
        <v>8</v>
      </c>
      <c r="N226">
        <v>4</v>
      </c>
      <c r="O226">
        <v>2</v>
      </c>
      <c r="P226">
        <v>60.88</v>
      </c>
      <c r="Q226">
        <v>61</v>
      </c>
      <c r="R226">
        <v>61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61</v>
      </c>
      <c r="Z226">
        <v>0</v>
      </c>
      <c r="AA226">
        <v>0</v>
      </c>
      <c r="AC226">
        <v>121.88</v>
      </c>
    </row>
    <row r="227" spans="1:29">
      <c r="A227">
        <v>220</v>
      </c>
      <c r="B227">
        <v>3354</v>
      </c>
      <c r="C227" t="s">
        <v>617</v>
      </c>
      <c r="D227" t="s">
        <v>124</v>
      </c>
      <c r="E227" t="s">
        <v>66</v>
      </c>
      <c r="F227" t="s">
        <v>618</v>
      </c>
      <c r="G227" t="str">
        <f>"201406007756"</f>
        <v>201406007756</v>
      </c>
      <c r="H227">
        <v>34.840000000000003</v>
      </c>
      <c r="I227">
        <v>10</v>
      </c>
      <c r="L227">
        <v>4</v>
      </c>
      <c r="M227">
        <v>4</v>
      </c>
      <c r="N227">
        <v>4</v>
      </c>
      <c r="O227">
        <v>2</v>
      </c>
      <c r="P227">
        <v>54.84</v>
      </c>
      <c r="Q227">
        <v>61</v>
      </c>
      <c r="R227">
        <v>61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61</v>
      </c>
      <c r="Z227">
        <v>6</v>
      </c>
      <c r="AA227">
        <v>0</v>
      </c>
      <c r="AC227">
        <v>121.84</v>
      </c>
    </row>
    <row r="228" spans="1:29">
      <c r="A228">
        <v>221</v>
      </c>
      <c r="B228">
        <v>2469</v>
      </c>
      <c r="C228" t="s">
        <v>619</v>
      </c>
      <c r="D228" t="s">
        <v>620</v>
      </c>
      <c r="E228" t="s">
        <v>621</v>
      </c>
      <c r="F228" t="s">
        <v>622</v>
      </c>
      <c r="G228" t="str">
        <f>"00441819"</f>
        <v>00441819</v>
      </c>
      <c r="H228">
        <v>21.6</v>
      </c>
      <c r="I228">
        <v>10</v>
      </c>
      <c r="J228">
        <v>8</v>
      </c>
      <c r="M228">
        <v>8</v>
      </c>
      <c r="N228">
        <v>4</v>
      </c>
      <c r="O228">
        <v>2</v>
      </c>
      <c r="P228">
        <v>45.6</v>
      </c>
      <c r="Q228">
        <v>70</v>
      </c>
      <c r="R228">
        <v>70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70</v>
      </c>
      <c r="Z228">
        <v>6</v>
      </c>
      <c r="AA228">
        <v>0</v>
      </c>
      <c r="AC228">
        <v>121.6</v>
      </c>
    </row>
    <row r="229" spans="1:29">
      <c r="A229">
        <v>222</v>
      </c>
      <c r="B229">
        <v>2630</v>
      </c>
      <c r="C229" t="s">
        <v>623</v>
      </c>
      <c r="D229" t="s">
        <v>227</v>
      </c>
      <c r="E229" t="s">
        <v>115</v>
      </c>
      <c r="F229" t="s">
        <v>624</v>
      </c>
      <c r="G229" t="str">
        <f>"00442058"</f>
        <v>00442058</v>
      </c>
      <c r="H229">
        <v>21.6</v>
      </c>
      <c r="I229">
        <v>0</v>
      </c>
      <c r="L229">
        <v>4</v>
      </c>
      <c r="M229">
        <v>4</v>
      </c>
      <c r="N229">
        <v>0</v>
      </c>
      <c r="O229">
        <v>0</v>
      </c>
      <c r="P229">
        <v>25.6</v>
      </c>
      <c r="Q229">
        <v>90</v>
      </c>
      <c r="R229">
        <v>90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90</v>
      </c>
      <c r="Z229">
        <v>6</v>
      </c>
      <c r="AA229">
        <v>0</v>
      </c>
      <c r="AC229">
        <v>121.6</v>
      </c>
    </row>
    <row r="230" spans="1:29">
      <c r="A230">
        <v>223</v>
      </c>
      <c r="B230">
        <v>3600</v>
      </c>
      <c r="C230" t="s">
        <v>625</v>
      </c>
      <c r="D230" t="s">
        <v>27</v>
      </c>
      <c r="E230" t="s">
        <v>66</v>
      </c>
      <c r="F230" t="s">
        <v>626</v>
      </c>
      <c r="G230" t="str">
        <f>"00530673"</f>
        <v>00530673</v>
      </c>
      <c r="H230">
        <v>57.6</v>
      </c>
      <c r="I230">
        <v>0</v>
      </c>
      <c r="J230">
        <v>8</v>
      </c>
      <c r="M230">
        <v>8</v>
      </c>
      <c r="N230">
        <v>0</v>
      </c>
      <c r="O230">
        <v>2</v>
      </c>
      <c r="P230">
        <v>67.599999999999994</v>
      </c>
      <c r="Q230">
        <v>54</v>
      </c>
      <c r="R230">
        <v>54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54</v>
      </c>
      <c r="Z230">
        <v>0</v>
      </c>
      <c r="AA230">
        <v>0</v>
      </c>
      <c r="AC230">
        <v>121.6</v>
      </c>
    </row>
    <row r="231" spans="1:29">
      <c r="A231">
        <v>224</v>
      </c>
      <c r="B231">
        <v>2338</v>
      </c>
      <c r="C231" t="s">
        <v>627</v>
      </c>
      <c r="D231" t="s">
        <v>86</v>
      </c>
      <c r="E231" t="s">
        <v>628</v>
      </c>
      <c r="F231" t="s">
        <v>629</v>
      </c>
      <c r="G231" t="str">
        <f>"200712002506"</f>
        <v>200712002506</v>
      </c>
      <c r="H231">
        <v>9.6</v>
      </c>
      <c r="I231">
        <v>0</v>
      </c>
      <c r="M231">
        <v>0</v>
      </c>
      <c r="N231">
        <v>4</v>
      </c>
      <c r="O231">
        <v>2</v>
      </c>
      <c r="P231">
        <v>15.6</v>
      </c>
      <c r="Q231">
        <v>106</v>
      </c>
      <c r="R231">
        <v>106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106</v>
      </c>
      <c r="Z231">
        <v>0</v>
      </c>
      <c r="AA231">
        <v>0</v>
      </c>
      <c r="AC231">
        <v>121.6</v>
      </c>
    </row>
    <row r="232" spans="1:29">
      <c r="A232">
        <v>225</v>
      </c>
      <c r="B232">
        <v>1824</v>
      </c>
      <c r="C232" t="s">
        <v>630</v>
      </c>
      <c r="D232" t="s">
        <v>631</v>
      </c>
      <c r="E232" t="s">
        <v>36</v>
      </c>
      <c r="F232" t="s">
        <v>632</v>
      </c>
      <c r="G232" t="str">
        <f>"00154755"</f>
        <v>00154755</v>
      </c>
      <c r="H232">
        <v>21.6</v>
      </c>
      <c r="I232">
        <v>10</v>
      </c>
      <c r="L232">
        <v>4</v>
      </c>
      <c r="M232">
        <v>4</v>
      </c>
      <c r="N232">
        <v>4</v>
      </c>
      <c r="O232">
        <v>2</v>
      </c>
      <c r="P232">
        <v>41.6</v>
      </c>
      <c r="Q232">
        <v>53</v>
      </c>
      <c r="R232">
        <v>53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53</v>
      </c>
      <c r="Z232">
        <v>0</v>
      </c>
      <c r="AA232">
        <v>26.8</v>
      </c>
      <c r="AC232">
        <v>121.4</v>
      </c>
    </row>
    <row r="233" spans="1:29">
      <c r="A233">
        <v>226</v>
      </c>
      <c r="B233">
        <v>1077</v>
      </c>
      <c r="C233" t="s">
        <v>633</v>
      </c>
      <c r="D233" t="s">
        <v>108</v>
      </c>
      <c r="E233" t="s">
        <v>634</v>
      </c>
      <c r="F233" t="s">
        <v>635</v>
      </c>
      <c r="G233" t="str">
        <f>"00401396"</f>
        <v>00401396</v>
      </c>
      <c r="H233">
        <v>50.4</v>
      </c>
      <c r="I233">
        <v>0</v>
      </c>
      <c r="L233">
        <v>4</v>
      </c>
      <c r="M233">
        <v>4</v>
      </c>
      <c r="N233">
        <v>4</v>
      </c>
      <c r="O233">
        <v>0</v>
      </c>
      <c r="P233">
        <v>58.4</v>
      </c>
      <c r="Q233">
        <v>18</v>
      </c>
      <c r="R233">
        <v>18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18</v>
      </c>
      <c r="Z233">
        <v>15</v>
      </c>
      <c r="AA233">
        <v>30</v>
      </c>
      <c r="AC233">
        <v>121.4</v>
      </c>
    </row>
    <row r="234" spans="1:29">
      <c r="A234">
        <v>227</v>
      </c>
      <c r="B234">
        <v>1981</v>
      </c>
      <c r="C234" t="s">
        <v>636</v>
      </c>
      <c r="D234" t="s">
        <v>205</v>
      </c>
      <c r="E234" t="s">
        <v>134</v>
      </c>
      <c r="F234" t="s">
        <v>637</v>
      </c>
      <c r="G234" t="str">
        <f>"00531188"</f>
        <v>00531188</v>
      </c>
      <c r="H234">
        <v>50.4</v>
      </c>
      <c r="I234">
        <v>10</v>
      </c>
      <c r="L234">
        <v>4</v>
      </c>
      <c r="M234">
        <v>4</v>
      </c>
      <c r="N234">
        <v>4</v>
      </c>
      <c r="O234">
        <v>0</v>
      </c>
      <c r="P234">
        <v>68.400000000000006</v>
      </c>
      <c r="Q234">
        <v>44</v>
      </c>
      <c r="R234">
        <v>44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44</v>
      </c>
      <c r="Z234">
        <v>9</v>
      </c>
      <c r="AA234">
        <v>0</v>
      </c>
      <c r="AC234">
        <v>121.4</v>
      </c>
    </row>
    <row r="235" spans="1:29">
      <c r="A235">
        <v>228</v>
      </c>
      <c r="B235">
        <v>1038</v>
      </c>
      <c r="C235" t="s">
        <v>638</v>
      </c>
      <c r="D235" t="s">
        <v>31</v>
      </c>
      <c r="E235" t="s">
        <v>79</v>
      </c>
      <c r="F235" t="s">
        <v>639</v>
      </c>
      <c r="G235" t="str">
        <f>"00162738"</f>
        <v>00162738</v>
      </c>
      <c r="H235">
        <v>50.4</v>
      </c>
      <c r="I235">
        <v>10</v>
      </c>
      <c r="M235">
        <v>0</v>
      </c>
      <c r="N235">
        <v>4</v>
      </c>
      <c r="O235">
        <v>2</v>
      </c>
      <c r="P235">
        <v>66.400000000000006</v>
      </c>
      <c r="Q235">
        <v>46</v>
      </c>
      <c r="R235">
        <v>46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46</v>
      </c>
      <c r="Z235">
        <v>9</v>
      </c>
      <c r="AA235">
        <v>0</v>
      </c>
      <c r="AC235">
        <v>121.4</v>
      </c>
    </row>
    <row r="236" spans="1:29">
      <c r="A236">
        <v>229</v>
      </c>
      <c r="B236">
        <v>3181</v>
      </c>
      <c r="C236" t="s">
        <v>640</v>
      </c>
      <c r="D236" t="s">
        <v>336</v>
      </c>
      <c r="E236" t="s">
        <v>337</v>
      </c>
      <c r="F236" t="s">
        <v>641</v>
      </c>
      <c r="G236" t="str">
        <f>"00441581"</f>
        <v>00441581</v>
      </c>
      <c r="H236">
        <v>50.4</v>
      </c>
      <c r="I236">
        <v>10</v>
      </c>
      <c r="M236">
        <v>0</v>
      </c>
      <c r="N236">
        <v>4</v>
      </c>
      <c r="O236">
        <v>2</v>
      </c>
      <c r="P236">
        <v>66.400000000000006</v>
      </c>
      <c r="Q236">
        <v>55</v>
      </c>
      <c r="R236">
        <v>55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55</v>
      </c>
      <c r="Z236">
        <v>0</v>
      </c>
      <c r="AA236">
        <v>0</v>
      </c>
      <c r="AC236">
        <v>121.4</v>
      </c>
    </row>
    <row r="237" spans="1:29">
      <c r="A237">
        <v>230</v>
      </c>
      <c r="B237">
        <v>2503</v>
      </c>
      <c r="C237" t="s">
        <v>642</v>
      </c>
      <c r="D237" t="s">
        <v>643</v>
      </c>
      <c r="E237" t="s">
        <v>644</v>
      </c>
      <c r="F237" t="s">
        <v>645</v>
      </c>
      <c r="G237" t="str">
        <f>"00441622"</f>
        <v>00441622</v>
      </c>
      <c r="H237">
        <v>50.4</v>
      </c>
      <c r="I237">
        <v>0</v>
      </c>
      <c r="L237">
        <v>4</v>
      </c>
      <c r="M237">
        <v>4</v>
      </c>
      <c r="N237">
        <v>4</v>
      </c>
      <c r="O237">
        <v>0</v>
      </c>
      <c r="P237">
        <v>58.4</v>
      </c>
      <c r="Q237">
        <v>63</v>
      </c>
      <c r="R237">
        <v>63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63</v>
      </c>
      <c r="Z237">
        <v>0</v>
      </c>
      <c r="AA237">
        <v>0</v>
      </c>
      <c r="AC237">
        <v>121.4</v>
      </c>
    </row>
    <row r="238" spans="1:29">
      <c r="A238">
        <v>231</v>
      </c>
      <c r="B238">
        <v>154</v>
      </c>
      <c r="C238" t="s">
        <v>646</v>
      </c>
      <c r="D238" t="s">
        <v>98</v>
      </c>
      <c r="E238" t="s">
        <v>647</v>
      </c>
      <c r="F238" t="s">
        <v>648</v>
      </c>
      <c r="G238" t="str">
        <f>"00527115"</f>
        <v>00527115</v>
      </c>
      <c r="H238">
        <v>43.2</v>
      </c>
      <c r="I238">
        <v>0</v>
      </c>
      <c r="M238">
        <v>0</v>
      </c>
      <c r="N238">
        <v>4</v>
      </c>
      <c r="O238">
        <v>2</v>
      </c>
      <c r="P238">
        <v>49.2</v>
      </c>
      <c r="Q238">
        <v>66</v>
      </c>
      <c r="R238">
        <v>66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66</v>
      </c>
      <c r="Z238">
        <v>6</v>
      </c>
      <c r="AA238">
        <v>0</v>
      </c>
      <c r="AC238">
        <v>121.2</v>
      </c>
    </row>
    <row r="239" spans="1:29">
      <c r="A239">
        <v>232</v>
      </c>
      <c r="B239">
        <v>3019</v>
      </c>
      <c r="C239" t="s">
        <v>649</v>
      </c>
      <c r="D239" t="s">
        <v>159</v>
      </c>
      <c r="E239" t="s">
        <v>15</v>
      </c>
      <c r="F239" t="s">
        <v>650</v>
      </c>
      <c r="G239" t="str">
        <f>"201406004743"</f>
        <v>201406004743</v>
      </c>
      <c r="H239">
        <v>43.2</v>
      </c>
      <c r="I239">
        <v>0</v>
      </c>
      <c r="M239">
        <v>0</v>
      </c>
      <c r="N239">
        <v>4</v>
      </c>
      <c r="O239">
        <v>2</v>
      </c>
      <c r="P239">
        <v>49.2</v>
      </c>
      <c r="Q239">
        <v>69</v>
      </c>
      <c r="R239">
        <v>69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69</v>
      </c>
      <c r="Z239">
        <v>3</v>
      </c>
      <c r="AA239">
        <v>0</v>
      </c>
      <c r="AC239">
        <v>121.2</v>
      </c>
    </row>
    <row r="240" spans="1:29">
      <c r="A240">
        <v>233</v>
      </c>
      <c r="B240">
        <v>2700</v>
      </c>
      <c r="C240" t="s">
        <v>651</v>
      </c>
      <c r="D240" t="s">
        <v>52</v>
      </c>
      <c r="E240" t="s">
        <v>36</v>
      </c>
      <c r="F240" t="s">
        <v>652</v>
      </c>
      <c r="G240" t="str">
        <f>"00516406"</f>
        <v>00516406</v>
      </c>
      <c r="H240">
        <v>7.2</v>
      </c>
      <c r="I240">
        <v>0</v>
      </c>
      <c r="J240">
        <v>8</v>
      </c>
      <c r="M240">
        <v>8</v>
      </c>
      <c r="N240">
        <v>4</v>
      </c>
      <c r="O240">
        <v>2</v>
      </c>
      <c r="P240">
        <v>21.2</v>
      </c>
      <c r="Q240">
        <v>97</v>
      </c>
      <c r="R240">
        <v>97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97</v>
      </c>
      <c r="Z240">
        <v>3</v>
      </c>
      <c r="AA240">
        <v>0</v>
      </c>
      <c r="AC240">
        <v>121.2</v>
      </c>
    </row>
    <row r="241" spans="1:29">
      <c r="A241">
        <v>234</v>
      </c>
      <c r="B241">
        <v>3172</v>
      </c>
      <c r="C241" t="s">
        <v>653</v>
      </c>
      <c r="D241" t="s">
        <v>448</v>
      </c>
      <c r="E241" t="s">
        <v>32</v>
      </c>
      <c r="F241" t="s">
        <v>654</v>
      </c>
      <c r="G241" t="str">
        <f>"00159641"</f>
        <v>00159641</v>
      </c>
      <c r="H241">
        <v>43.2</v>
      </c>
      <c r="I241">
        <v>0</v>
      </c>
      <c r="J241">
        <v>8</v>
      </c>
      <c r="M241">
        <v>8</v>
      </c>
      <c r="N241">
        <v>4</v>
      </c>
      <c r="O241">
        <v>2</v>
      </c>
      <c r="P241">
        <v>57.2</v>
      </c>
      <c r="Q241">
        <v>64</v>
      </c>
      <c r="R241">
        <v>64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64</v>
      </c>
      <c r="Z241">
        <v>0</v>
      </c>
      <c r="AA241">
        <v>0</v>
      </c>
      <c r="AC241">
        <v>121.2</v>
      </c>
    </row>
    <row r="242" spans="1:29">
      <c r="A242">
        <v>235</v>
      </c>
      <c r="B242">
        <v>4176</v>
      </c>
      <c r="C242" t="s">
        <v>655</v>
      </c>
      <c r="D242" t="s">
        <v>102</v>
      </c>
      <c r="E242" t="s">
        <v>32</v>
      </c>
      <c r="F242" t="s">
        <v>656</v>
      </c>
      <c r="G242" t="str">
        <f>"00532076"</f>
        <v>00532076</v>
      </c>
      <c r="H242">
        <v>36</v>
      </c>
      <c r="I242">
        <v>0</v>
      </c>
      <c r="J242">
        <v>8</v>
      </c>
      <c r="K242">
        <v>6</v>
      </c>
      <c r="M242">
        <v>14</v>
      </c>
      <c r="N242">
        <v>4</v>
      </c>
      <c r="O242">
        <v>0</v>
      </c>
      <c r="P242">
        <v>54</v>
      </c>
      <c r="Q242">
        <v>61</v>
      </c>
      <c r="R242">
        <v>61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61</v>
      </c>
      <c r="Z242">
        <v>6</v>
      </c>
      <c r="AA242">
        <v>0</v>
      </c>
      <c r="AC242">
        <v>121</v>
      </c>
    </row>
    <row r="243" spans="1:29">
      <c r="A243">
        <v>236</v>
      </c>
      <c r="B243">
        <v>4352</v>
      </c>
      <c r="C243" t="s">
        <v>543</v>
      </c>
      <c r="D243" t="s">
        <v>39</v>
      </c>
      <c r="E243" t="s">
        <v>60</v>
      </c>
      <c r="F243" t="s">
        <v>657</v>
      </c>
      <c r="G243" t="str">
        <f>"00223076"</f>
        <v>00223076</v>
      </c>
      <c r="H243">
        <v>36</v>
      </c>
      <c r="I243">
        <v>0</v>
      </c>
      <c r="K243">
        <v>6</v>
      </c>
      <c r="M243">
        <v>6</v>
      </c>
      <c r="N243">
        <v>4</v>
      </c>
      <c r="O243">
        <v>2</v>
      </c>
      <c r="P243">
        <v>48</v>
      </c>
      <c r="Q243">
        <v>67</v>
      </c>
      <c r="R243">
        <v>67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67</v>
      </c>
      <c r="Z243">
        <v>6</v>
      </c>
      <c r="AA243">
        <v>0</v>
      </c>
      <c r="AC243">
        <v>121</v>
      </c>
    </row>
    <row r="244" spans="1:29">
      <c r="A244">
        <v>237</v>
      </c>
      <c r="B244">
        <v>1510</v>
      </c>
      <c r="C244" t="s">
        <v>658</v>
      </c>
      <c r="D244" t="s">
        <v>27</v>
      </c>
      <c r="E244" t="s">
        <v>187</v>
      </c>
      <c r="F244" t="s">
        <v>659</v>
      </c>
      <c r="G244" t="str">
        <f>"00481113"</f>
        <v>00481113</v>
      </c>
      <c r="H244">
        <v>36</v>
      </c>
      <c r="I244">
        <v>0</v>
      </c>
      <c r="M244">
        <v>0</v>
      </c>
      <c r="N244">
        <v>4</v>
      </c>
      <c r="O244">
        <v>0</v>
      </c>
      <c r="P244">
        <v>40</v>
      </c>
      <c r="Q244">
        <v>78</v>
      </c>
      <c r="R244">
        <v>78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78</v>
      </c>
      <c r="Z244">
        <v>3</v>
      </c>
      <c r="AA244">
        <v>0</v>
      </c>
      <c r="AC244">
        <v>121</v>
      </c>
    </row>
    <row r="245" spans="1:29">
      <c r="A245">
        <v>238</v>
      </c>
      <c r="B245">
        <v>2786</v>
      </c>
      <c r="C245" t="s">
        <v>660</v>
      </c>
      <c r="D245" t="s">
        <v>20</v>
      </c>
      <c r="E245" t="s">
        <v>156</v>
      </c>
      <c r="F245" t="s">
        <v>661</v>
      </c>
      <c r="G245" t="str">
        <f>"00529743"</f>
        <v>00529743</v>
      </c>
      <c r="H245">
        <v>36</v>
      </c>
      <c r="I245">
        <v>0</v>
      </c>
      <c r="L245">
        <v>4</v>
      </c>
      <c r="M245">
        <v>4</v>
      </c>
      <c r="N245">
        <v>0</v>
      </c>
      <c r="O245">
        <v>0</v>
      </c>
      <c r="P245">
        <v>40</v>
      </c>
      <c r="Q245">
        <v>78</v>
      </c>
      <c r="R245">
        <v>78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78</v>
      </c>
      <c r="Z245">
        <v>3</v>
      </c>
      <c r="AA245">
        <v>0</v>
      </c>
      <c r="AC245">
        <v>121</v>
      </c>
    </row>
    <row r="246" spans="1:29">
      <c r="A246">
        <v>239</v>
      </c>
      <c r="B246">
        <v>2787</v>
      </c>
      <c r="C246" t="s">
        <v>91</v>
      </c>
      <c r="D246" t="s">
        <v>662</v>
      </c>
      <c r="E246" t="s">
        <v>337</v>
      </c>
      <c r="F246" t="s">
        <v>663</v>
      </c>
      <c r="G246" t="str">
        <f>"00529963"</f>
        <v>00529963</v>
      </c>
      <c r="H246">
        <v>72</v>
      </c>
      <c r="I246">
        <v>0</v>
      </c>
      <c r="J246">
        <v>8</v>
      </c>
      <c r="M246">
        <v>8</v>
      </c>
      <c r="N246">
        <v>4</v>
      </c>
      <c r="O246">
        <v>0</v>
      </c>
      <c r="P246">
        <v>84</v>
      </c>
      <c r="Q246">
        <v>37</v>
      </c>
      <c r="R246">
        <v>37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37</v>
      </c>
      <c r="Z246">
        <v>0</v>
      </c>
      <c r="AA246">
        <v>0</v>
      </c>
      <c r="AC246">
        <v>121</v>
      </c>
    </row>
    <row r="247" spans="1:29">
      <c r="A247">
        <v>240</v>
      </c>
      <c r="B247">
        <v>3312</v>
      </c>
      <c r="C247" t="s">
        <v>664</v>
      </c>
      <c r="D247" t="s">
        <v>95</v>
      </c>
      <c r="E247" t="s">
        <v>156</v>
      </c>
      <c r="F247" t="s">
        <v>665</v>
      </c>
      <c r="G247" t="str">
        <f>"00525294"</f>
        <v>00525294</v>
      </c>
      <c r="H247">
        <v>72</v>
      </c>
      <c r="I247">
        <v>0</v>
      </c>
      <c r="M247">
        <v>0</v>
      </c>
      <c r="N247">
        <v>0</v>
      </c>
      <c r="O247">
        <v>0</v>
      </c>
      <c r="P247">
        <v>72</v>
      </c>
      <c r="Q247">
        <v>49</v>
      </c>
      <c r="R247">
        <v>49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49</v>
      </c>
      <c r="Z247">
        <v>0</v>
      </c>
      <c r="AA247">
        <v>0</v>
      </c>
      <c r="AC247">
        <v>121</v>
      </c>
    </row>
    <row r="248" spans="1:29">
      <c r="A248">
        <v>241</v>
      </c>
      <c r="B248">
        <v>2761</v>
      </c>
      <c r="C248" t="s">
        <v>666</v>
      </c>
      <c r="D248" t="s">
        <v>465</v>
      </c>
      <c r="E248" t="s">
        <v>36</v>
      </c>
      <c r="F248" t="s">
        <v>667</v>
      </c>
      <c r="G248" t="str">
        <f>"201511018406"</f>
        <v>201511018406</v>
      </c>
      <c r="H248">
        <v>36</v>
      </c>
      <c r="I248">
        <v>10</v>
      </c>
      <c r="J248">
        <v>8</v>
      </c>
      <c r="M248">
        <v>8</v>
      </c>
      <c r="N248">
        <v>4</v>
      </c>
      <c r="O248">
        <v>2</v>
      </c>
      <c r="P248">
        <v>60</v>
      </c>
      <c r="Q248">
        <v>61</v>
      </c>
      <c r="R248">
        <v>61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61</v>
      </c>
      <c r="Z248">
        <v>0</v>
      </c>
      <c r="AA248">
        <v>0</v>
      </c>
      <c r="AC248">
        <v>121</v>
      </c>
    </row>
    <row r="249" spans="1:29">
      <c r="A249">
        <v>242</v>
      </c>
      <c r="B249">
        <v>1251</v>
      </c>
      <c r="C249" t="s">
        <v>668</v>
      </c>
      <c r="D249" t="s">
        <v>145</v>
      </c>
      <c r="E249" t="s">
        <v>36</v>
      </c>
      <c r="F249" t="s">
        <v>669</v>
      </c>
      <c r="G249" t="str">
        <f>"00532037"</f>
        <v>00532037</v>
      </c>
      <c r="H249">
        <v>64.8</v>
      </c>
      <c r="I249">
        <v>10</v>
      </c>
      <c r="J249">
        <v>8</v>
      </c>
      <c r="M249">
        <v>8</v>
      </c>
      <c r="N249">
        <v>4</v>
      </c>
      <c r="O249">
        <v>2</v>
      </c>
      <c r="P249">
        <v>88.8</v>
      </c>
      <c r="Q249">
        <v>26</v>
      </c>
      <c r="R249">
        <v>26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26</v>
      </c>
      <c r="Z249">
        <v>6</v>
      </c>
      <c r="AA249">
        <v>0</v>
      </c>
      <c r="AC249">
        <v>120.8</v>
      </c>
    </row>
    <row r="250" spans="1:29">
      <c r="A250">
        <v>243</v>
      </c>
      <c r="B250">
        <v>1744</v>
      </c>
      <c r="C250" t="s">
        <v>670</v>
      </c>
      <c r="D250" t="s">
        <v>205</v>
      </c>
      <c r="E250" t="s">
        <v>581</v>
      </c>
      <c r="F250" t="s">
        <v>671</v>
      </c>
      <c r="G250" t="str">
        <f>"00207437"</f>
        <v>00207437</v>
      </c>
      <c r="H250">
        <v>28.8</v>
      </c>
      <c r="I250">
        <v>10</v>
      </c>
      <c r="J250">
        <v>8</v>
      </c>
      <c r="M250">
        <v>8</v>
      </c>
      <c r="N250">
        <v>4</v>
      </c>
      <c r="O250">
        <v>2</v>
      </c>
      <c r="P250">
        <v>52.8</v>
      </c>
      <c r="Q250">
        <v>62</v>
      </c>
      <c r="R250">
        <v>62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62</v>
      </c>
      <c r="Z250">
        <v>6</v>
      </c>
      <c r="AA250">
        <v>0</v>
      </c>
      <c r="AC250">
        <v>120.8</v>
      </c>
    </row>
    <row r="251" spans="1:29">
      <c r="A251">
        <v>244</v>
      </c>
      <c r="B251">
        <v>2233</v>
      </c>
      <c r="C251" t="s">
        <v>672</v>
      </c>
      <c r="D251" t="s">
        <v>39</v>
      </c>
      <c r="E251" t="s">
        <v>89</v>
      </c>
      <c r="F251" t="s">
        <v>673</v>
      </c>
      <c r="G251" t="str">
        <f>"00441835"</f>
        <v>00441835</v>
      </c>
      <c r="H251">
        <v>64.8</v>
      </c>
      <c r="I251">
        <v>10</v>
      </c>
      <c r="L251">
        <v>4</v>
      </c>
      <c r="M251">
        <v>4</v>
      </c>
      <c r="N251">
        <v>4</v>
      </c>
      <c r="O251">
        <v>2</v>
      </c>
      <c r="P251">
        <v>84.8</v>
      </c>
      <c r="Q251">
        <v>36</v>
      </c>
      <c r="R251">
        <v>36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36</v>
      </c>
      <c r="Z251">
        <v>0</v>
      </c>
      <c r="AA251">
        <v>0</v>
      </c>
      <c r="AC251">
        <v>120.8</v>
      </c>
    </row>
    <row r="252" spans="1:29">
      <c r="A252">
        <v>245</v>
      </c>
      <c r="B252">
        <v>2848</v>
      </c>
      <c r="C252" t="s">
        <v>72</v>
      </c>
      <c r="D252" t="s">
        <v>175</v>
      </c>
      <c r="E252" t="s">
        <v>28</v>
      </c>
      <c r="F252" t="s">
        <v>674</v>
      </c>
      <c r="G252" t="str">
        <f>"00441919"</f>
        <v>00441919</v>
      </c>
      <c r="H252">
        <v>28.8</v>
      </c>
      <c r="I252">
        <v>10</v>
      </c>
      <c r="K252">
        <v>6</v>
      </c>
      <c r="M252">
        <v>6</v>
      </c>
      <c r="N252">
        <v>4</v>
      </c>
      <c r="O252">
        <v>2</v>
      </c>
      <c r="P252">
        <v>50.8</v>
      </c>
      <c r="Q252">
        <v>70</v>
      </c>
      <c r="R252">
        <v>70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70</v>
      </c>
      <c r="Z252">
        <v>0</v>
      </c>
      <c r="AA252">
        <v>0</v>
      </c>
      <c r="AC252">
        <v>120.8</v>
      </c>
    </row>
    <row r="253" spans="1:29">
      <c r="A253">
        <v>246</v>
      </c>
      <c r="B253">
        <v>4030</v>
      </c>
      <c r="C253" t="s">
        <v>675</v>
      </c>
      <c r="D253" t="s">
        <v>510</v>
      </c>
      <c r="E253" t="s">
        <v>60</v>
      </c>
      <c r="F253" t="s">
        <v>676</v>
      </c>
      <c r="G253" t="str">
        <f>"00527227"</f>
        <v>00527227</v>
      </c>
      <c r="H253">
        <v>34.56</v>
      </c>
      <c r="I253">
        <v>10</v>
      </c>
      <c r="L253">
        <v>4</v>
      </c>
      <c r="M253">
        <v>4</v>
      </c>
      <c r="N253">
        <v>4</v>
      </c>
      <c r="O253">
        <v>0</v>
      </c>
      <c r="P253">
        <v>52.56</v>
      </c>
      <c r="Q253">
        <v>62</v>
      </c>
      <c r="R253">
        <v>62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62</v>
      </c>
      <c r="Z253">
        <v>6</v>
      </c>
      <c r="AA253">
        <v>0</v>
      </c>
      <c r="AC253">
        <v>120.56</v>
      </c>
    </row>
    <row r="254" spans="1:29">
      <c r="A254">
        <v>247</v>
      </c>
      <c r="B254">
        <v>206</v>
      </c>
      <c r="C254" t="s">
        <v>677</v>
      </c>
      <c r="D254" t="s">
        <v>27</v>
      </c>
      <c r="E254" t="s">
        <v>134</v>
      </c>
      <c r="F254" t="s">
        <v>678</v>
      </c>
      <c r="G254" t="str">
        <f>"00519828"</f>
        <v>00519828</v>
      </c>
      <c r="H254">
        <v>35.479999999999997</v>
      </c>
      <c r="I254">
        <v>10</v>
      </c>
      <c r="J254">
        <v>8</v>
      </c>
      <c r="M254">
        <v>8</v>
      </c>
      <c r="N254">
        <v>4</v>
      </c>
      <c r="O254">
        <v>2</v>
      </c>
      <c r="P254">
        <v>59.48</v>
      </c>
      <c r="Q254">
        <v>58</v>
      </c>
      <c r="R254">
        <v>58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58</v>
      </c>
      <c r="Z254">
        <v>3</v>
      </c>
      <c r="AA254">
        <v>0</v>
      </c>
      <c r="AC254">
        <v>120.48</v>
      </c>
    </row>
    <row r="255" spans="1:29">
      <c r="A255">
        <v>248</v>
      </c>
      <c r="B255">
        <v>1693</v>
      </c>
      <c r="C255" t="s">
        <v>679</v>
      </c>
      <c r="D255" t="s">
        <v>35</v>
      </c>
      <c r="E255" t="s">
        <v>337</v>
      </c>
      <c r="F255" t="s">
        <v>680</v>
      </c>
      <c r="G255" t="str">
        <f>"00477777"</f>
        <v>00477777</v>
      </c>
      <c r="H255">
        <v>50.4</v>
      </c>
      <c r="I255">
        <v>10</v>
      </c>
      <c r="J255">
        <v>8</v>
      </c>
      <c r="M255">
        <v>8</v>
      </c>
      <c r="N255">
        <v>4</v>
      </c>
      <c r="O255">
        <v>2</v>
      </c>
      <c r="P255">
        <v>74.400000000000006</v>
      </c>
      <c r="Q255">
        <v>43</v>
      </c>
      <c r="R255">
        <v>43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43</v>
      </c>
      <c r="Z255">
        <v>3</v>
      </c>
      <c r="AA255">
        <v>0</v>
      </c>
      <c r="AC255">
        <v>120.4</v>
      </c>
    </row>
    <row r="256" spans="1:29">
      <c r="A256">
        <v>249</v>
      </c>
      <c r="B256">
        <v>2797</v>
      </c>
      <c r="C256" t="s">
        <v>681</v>
      </c>
      <c r="D256" t="s">
        <v>52</v>
      </c>
      <c r="E256" t="s">
        <v>682</v>
      </c>
      <c r="F256" t="s">
        <v>683</v>
      </c>
      <c r="G256" t="str">
        <f>"00512365"</f>
        <v>00512365</v>
      </c>
      <c r="H256">
        <v>43.2</v>
      </c>
      <c r="I256">
        <v>10</v>
      </c>
      <c r="K256">
        <v>6</v>
      </c>
      <c r="M256">
        <v>6</v>
      </c>
      <c r="N256">
        <v>4</v>
      </c>
      <c r="O256">
        <v>2</v>
      </c>
      <c r="P256">
        <v>65.2</v>
      </c>
      <c r="Q256">
        <v>55</v>
      </c>
      <c r="R256">
        <v>55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55</v>
      </c>
      <c r="Z256">
        <v>0</v>
      </c>
      <c r="AA256">
        <v>0</v>
      </c>
      <c r="AC256">
        <v>120.2</v>
      </c>
    </row>
    <row r="257" spans="1:29">
      <c r="A257">
        <v>250</v>
      </c>
      <c r="B257">
        <v>1129</v>
      </c>
      <c r="C257" t="s">
        <v>684</v>
      </c>
      <c r="D257" t="s">
        <v>164</v>
      </c>
      <c r="E257" t="s">
        <v>134</v>
      </c>
      <c r="F257" t="s">
        <v>685</v>
      </c>
      <c r="G257" t="str">
        <f>"00511302"</f>
        <v>00511302</v>
      </c>
      <c r="H257">
        <v>43.2</v>
      </c>
      <c r="I257">
        <v>10</v>
      </c>
      <c r="M257">
        <v>0</v>
      </c>
      <c r="N257">
        <v>4</v>
      </c>
      <c r="O257">
        <v>0</v>
      </c>
      <c r="P257">
        <v>57.2</v>
      </c>
      <c r="Q257">
        <v>63</v>
      </c>
      <c r="R257">
        <v>63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63</v>
      </c>
      <c r="Z257">
        <v>0</v>
      </c>
      <c r="AA257">
        <v>0</v>
      </c>
      <c r="AC257">
        <v>120.2</v>
      </c>
    </row>
    <row r="258" spans="1:29">
      <c r="A258">
        <v>251</v>
      </c>
      <c r="B258">
        <v>3552</v>
      </c>
      <c r="C258" t="s">
        <v>686</v>
      </c>
      <c r="D258" t="s">
        <v>687</v>
      </c>
      <c r="E258" t="s">
        <v>79</v>
      </c>
      <c r="F258" t="s">
        <v>688</v>
      </c>
      <c r="G258" t="str">
        <f>"00509195"</f>
        <v>00509195</v>
      </c>
      <c r="H258">
        <v>31.16</v>
      </c>
      <c r="I258">
        <v>0</v>
      </c>
      <c r="J258">
        <v>8</v>
      </c>
      <c r="K258">
        <v>6</v>
      </c>
      <c r="M258">
        <v>14</v>
      </c>
      <c r="N258">
        <v>4</v>
      </c>
      <c r="O258">
        <v>0</v>
      </c>
      <c r="P258">
        <v>49.16</v>
      </c>
      <c r="Q258">
        <v>68</v>
      </c>
      <c r="R258">
        <v>68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68</v>
      </c>
      <c r="Z258">
        <v>3</v>
      </c>
      <c r="AA258">
        <v>0</v>
      </c>
      <c r="AC258">
        <v>120.16</v>
      </c>
    </row>
    <row r="259" spans="1:29">
      <c r="A259">
        <v>252</v>
      </c>
      <c r="B259">
        <v>1664</v>
      </c>
      <c r="C259" t="s">
        <v>689</v>
      </c>
      <c r="D259" t="s">
        <v>27</v>
      </c>
      <c r="E259" t="s">
        <v>79</v>
      </c>
      <c r="F259" t="s">
        <v>690</v>
      </c>
      <c r="G259" t="str">
        <f>"201511020226"</f>
        <v>201511020226</v>
      </c>
      <c r="H259">
        <v>36</v>
      </c>
      <c r="I259">
        <v>10</v>
      </c>
      <c r="J259">
        <v>8</v>
      </c>
      <c r="M259">
        <v>8</v>
      </c>
      <c r="N259">
        <v>4</v>
      </c>
      <c r="O259">
        <v>2</v>
      </c>
      <c r="P259">
        <v>60</v>
      </c>
      <c r="Q259">
        <v>60</v>
      </c>
      <c r="R259">
        <v>60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60</v>
      </c>
      <c r="Z259">
        <v>0</v>
      </c>
      <c r="AA259">
        <v>0</v>
      </c>
      <c r="AC259">
        <v>120</v>
      </c>
    </row>
    <row r="260" spans="1:29">
      <c r="A260">
        <v>253</v>
      </c>
      <c r="B260">
        <v>2584</v>
      </c>
      <c r="C260" t="s">
        <v>693</v>
      </c>
      <c r="D260" t="s">
        <v>694</v>
      </c>
      <c r="E260" t="s">
        <v>168</v>
      </c>
      <c r="F260" t="s">
        <v>695</v>
      </c>
      <c r="G260" t="str">
        <f>"00499006"</f>
        <v>00499006</v>
      </c>
      <c r="H260">
        <v>64.8</v>
      </c>
      <c r="I260">
        <v>0</v>
      </c>
      <c r="J260">
        <v>8</v>
      </c>
      <c r="L260">
        <v>4</v>
      </c>
      <c r="M260">
        <v>12</v>
      </c>
      <c r="N260">
        <v>4</v>
      </c>
      <c r="O260">
        <v>2</v>
      </c>
      <c r="P260">
        <v>82.8</v>
      </c>
      <c r="Q260">
        <v>37</v>
      </c>
      <c r="R260">
        <v>37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37</v>
      </c>
      <c r="Z260">
        <v>0</v>
      </c>
      <c r="AA260">
        <v>0</v>
      </c>
      <c r="AC260">
        <v>119.8</v>
      </c>
    </row>
    <row r="261" spans="1:29">
      <c r="A261">
        <v>254</v>
      </c>
      <c r="B261">
        <v>1175</v>
      </c>
      <c r="C261" t="s">
        <v>691</v>
      </c>
      <c r="D261" t="s">
        <v>210</v>
      </c>
      <c r="E261" t="s">
        <v>77</v>
      </c>
      <c r="F261" t="s">
        <v>692</v>
      </c>
      <c r="G261" t="str">
        <f>"00512570"</f>
        <v>00512570</v>
      </c>
      <c r="H261">
        <v>64.8</v>
      </c>
      <c r="I261">
        <v>0</v>
      </c>
      <c r="J261">
        <v>8</v>
      </c>
      <c r="L261">
        <v>4</v>
      </c>
      <c r="M261">
        <v>12</v>
      </c>
      <c r="N261">
        <v>4</v>
      </c>
      <c r="O261">
        <v>2</v>
      </c>
      <c r="P261">
        <v>82.8</v>
      </c>
      <c r="Q261">
        <v>37</v>
      </c>
      <c r="R261">
        <v>37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37</v>
      </c>
      <c r="Z261">
        <v>0</v>
      </c>
      <c r="AA261">
        <v>0</v>
      </c>
      <c r="AC261">
        <v>119.8</v>
      </c>
    </row>
    <row r="262" spans="1:29">
      <c r="A262">
        <v>255</v>
      </c>
      <c r="B262">
        <v>1893</v>
      </c>
      <c r="C262" t="s">
        <v>696</v>
      </c>
      <c r="D262" t="s">
        <v>205</v>
      </c>
      <c r="E262" t="s">
        <v>227</v>
      </c>
      <c r="F262" t="s">
        <v>697</v>
      </c>
      <c r="G262" t="str">
        <f>"201511039246"</f>
        <v>201511039246</v>
      </c>
      <c r="H262">
        <v>33.799999999999997</v>
      </c>
      <c r="I262">
        <v>10</v>
      </c>
      <c r="J262">
        <v>8</v>
      </c>
      <c r="M262">
        <v>8</v>
      </c>
      <c r="N262">
        <v>4</v>
      </c>
      <c r="O262">
        <v>2</v>
      </c>
      <c r="P262">
        <v>57.8</v>
      </c>
      <c r="Q262">
        <v>62</v>
      </c>
      <c r="R262">
        <v>62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62</v>
      </c>
      <c r="Z262">
        <v>0</v>
      </c>
      <c r="AA262">
        <v>0</v>
      </c>
      <c r="AC262">
        <v>119.8</v>
      </c>
    </row>
    <row r="263" spans="1:29">
      <c r="A263">
        <v>256</v>
      </c>
      <c r="B263">
        <v>817</v>
      </c>
      <c r="C263" t="s">
        <v>698</v>
      </c>
      <c r="D263" t="s">
        <v>39</v>
      </c>
      <c r="E263" t="s">
        <v>533</v>
      </c>
      <c r="F263" t="s">
        <v>699</v>
      </c>
      <c r="G263" t="str">
        <f>"201406004051"</f>
        <v>201406004051</v>
      </c>
      <c r="H263">
        <v>39.6</v>
      </c>
      <c r="I263">
        <v>10</v>
      </c>
      <c r="K263">
        <v>6</v>
      </c>
      <c r="M263">
        <v>6</v>
      </c>
      <c r="N263">
        <v>4</v>
      </c>
      <c r="O263">
        <v>2</v>
      </c>
      <c r="P263">
        <v>61.6</v>
      </c>
      <c r="Q263">
        <v>49</v>
      </c>
      <c r="R263">
        <v>49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49</v>
      </c>
      <c r="Z263">
        <v>9</v>
      </c>
      <c r="AA263">
        <v>0</v>
      </c>
      <c r="AC263">
        <v>119.6</v>
      </c>
    </row>
    <row r="264" spans="1:29">
      <c r="A264">
        <v>257</v>
      </c>
      <c r="B264">
        <v>761</v>
      </c>
      <c r="C264" t="s">
        <v>700</v>
      </c>
      <c r="D264" t="s">
        <v>164</v>
      </c>
      <c r="E264" t="s">
        <v>36</v>
      </c>
      <c r="F264" t="s">
        <v>701</v>
      </c>
      <c r="G264" t="str">
        <f>"00480029"</f>
        <v>00480029</v>
      </c>
      <c r="H264">
        <v>36.6</v>
      </c>
      <c r="I264">
        <v>10</v>
      </c>
      <c r="M264">
        <v>0</v>
      </c>
      <c r="N264">
        <v>4</v>
      </c>
      <c r="O264">
        <v>2</v>
      </c>
      <c r="P264">
        <v>52.6</v>
      </c>
      <c r="Q264">
        <v>61</v>
      </c>
      <c r="R264">
        <v>61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61</v>
      </c>
      <c r="Z264">
        <v>6</v>
      </c>
      <c r="AA264">
        <v>0</v>
      </c>
      <c r="AC264">
        <v>119.6</v>
      </c>
    </row>
    <row r="265" spans="1:29">
      <c r="A265">
        <v>258</v>
      </c>
      <c r="B265">
        <v>4500</v>
      </c>
      <c r="C265" t="s">
        <v>543</v>
      </c>
      <c r="D265" t="s">
        <v>95</v>
      </c>
      <c r="E265" t="s">
        <v>28</v>
      </c>
      <c r="F265" t="s">
        <v>702</v>
      </c>
      <c r="G265" t="str">
        <f>"200801002316"</f>
        <v>200801002316</v>
      </c>
      <c r="H265">
        <v>21.6</v>
      </c>
      <c r="I265">
        <v>10</v>
      </c>
      <c r="L265">
        <v>4</v>
      </c>
      <c r="M265">
        <v>4</v>
      </c>
      <c r="N265">
        <v>4</v>
      </c>
      <c r="O265">
        <v>0</v>
      </c>
      <c r="P265">
        <v>39.6</v>
      </c>
      <c r="Q265">
        <v>80</v>
      </c>
      <c r="R265">
        <v>80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80</v>
      </c>
      <c r="Z265">
        <v>0</v>
      </c>
      <c r="AA265">
        <v>0</v>
      </c>
      <c r="AC265">
        <v>119.6</v>
      </c>
    </row>
    <row r="266" spans="1:29">
      <c r="A266">
        <v>259</v>
      </c>
      <c r="B266">
        <v>3774</v>
      </c>
      <c r="C266" t="s">
        <v>703</v>
      </c>
      <c r="D266" t="s">
        <v>473</v>
      </c>
      <c r="E266" t="s">
        <v>704</v>
      </c>
      <c r="F266" t="s">
        <v>705</v>
      </c>
      <c r="G266" t="str">
        <f>"00529880"</f>
        <v>00529880</v>
      </c>
      <c r="H266">
        <v>50.4</v>
      </c>
      <c r="I266">
        <v>10</v>
      </c>
      <c r="L266">
        <v>4</v>
      </c>
      <c r="M266">
        <v>4</v>
      </c>
      <c r="N266">
        <v>4</v>
      </c>
      <c r="O266">
        <v>2</v>
      </c>
      <c r="P266">
        <v>70.400000000000006</v>
      </c>
      <c r="Q266">
        <v>43</v>
      </c>
      <c r="R266">
        <v>43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43</v>
      </c>
      <c r="Z266">
        <v>6</v>
      </c>
      <c r="AA266">
        <v>0</v>
      </c>
      <c r="AC266">
        <v>119.4</v>
      </c>
    </row>
    <row r="267" spans="1:29">
      <c r="A267">
        <v>260</v>
      </c>
      <c r="B267">
        <v>4788</v>
      </c>
      <c r="C267" t="s">
        <v>706</v>
      </c>
      <c r="D267" t="s">
        <v>707</v>
      </c>
      <c r="E267" t="s">
        <v>18</v>
      </c>
      <c r="F267" t="s">
        <v>708</v>
      </c>
      <c r="G267" t="str">
        <f>"00442359"</f>
        <v>00442359</v>
      </c>
      <c r="H267">
        <v>14.4</v>
      </c>
      <c r="I267">
        <v>0</v>
      </c>
      <c r="J267">
        <v>8</v>
      </c>
      <c r="M267">
        <v>8</v>
      </c>
      <c r="N267">
        <v>4</v>
      </c>
      <c r="O267">
        <v>0</v>
      </c>
      <c r="P267">
        <v>26.4</v>
      </c>
      <c r="Q267">
        <v>90</v>
      </c>
      <c r="R267">
        <v>90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90</v>
      </c>
      <c r="Z267">
        <v>3</v>
      </c>
      <c r="AA267">
        <v>0</v>
      </c>
      <c r="AC267">
        <v>119.4</v>
      </c>
    </row>
    <row r="268" spans="1:29">
      <c r="A268">
        <v>261</v>
      </c>
      <c r="B268">
        <v>2473</v>
      </c>
      <c r="C268" t="s">
        <v>709</v>
      </c>
      <c r="D268" t="s">
        <v>86</v>
      </c>
      <c r="E268" t="s">
        <v>710</v>
      </c>
      <c r="F268" t="s">
        <v>711</v>
      </c>
      <c r="G268" t="str">
        <f>"201603000086"</f>
        <v>201603000086</v>
      </c>
      <c r="H268">
        <v>50.4</v>
      </c>
      <c r="I268">
        <v>10</v>
      </c>
      <c r="J268">
        <v>8</v>
      </c>
      <c r="M268">
        <v>8</v>
      </c>
      <c r="N268">
        <v>4</v>
      </c>
      <c r="O268">
        <v>2</v>
      </c>
      <c r="P268">
        <v>74.400000000000006</v>
      </c>
      <c r="Q268">
        <v>45</v>
      </c>
      <c r="R268">
        <v>45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45</v>
      </c>
      <c r="Z268">
        <v>0</v>
      </c>
      <c r="AA268">
        <v>0</v>
      </c>
      <c r="AC268">
        <v>119.4</v>
      </c>
    </row>
    <row r="269" spans="1:29">
      <c r="A269">
        <v>262</v>
      </c>
      <c r="B269">
        <v>4645</v>
      </c>
      <c r="C269" t="s">
        <v>712</v>
      </c>
      <c r="D269" t="s">
        <v>52</v>
      </c>
      <c r="E269" t="s">
        <v>15</v>
      </c>
      <c r="F269" t="s">
        <v>713</v>
      </c>
      <c r="G269" t="str">
        <f>"00517020"</f>
        <v>00517020</v>
      </c>
      <c r="H269">
        <v>50.4</v>
      </c>
      <c r="I269">
        <v>0</v>
      </c>
      <c r="L269">
        <v>8</v>
      </c>
      <c r="M269">
        <v>8</v>
      </c>
      <c r="N269">
        <v>4</v>
      </c>
      <c r="O269">
        <v>2</v>
      </c>
      <c r="P269">
        <v>64.400000000000006</v>
      </c>
      <c r="Q269">
        <v>55</v>
      </c>
      <c r="R269">
        <v>55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55</v>
      </c>
      <c r="Z269">
        <v>0</v>
      </c>
      <c r="AA269">
        <v>0</v>
      </c>
      <c r="AC269">
        <v>119.4</v>
      </c>
    </row>
    <row r="270" spans="1:29">
      <c r="A270">
        <v>263</v>
      </c>
      <c r="B270">
        <v>2090</v>
      </c>
      <c r="C270" t="s">
        <v>714</v>
      </c>
      <c r="D270" t="s">
        <v>179</v>
      </c>
      <c r="E270" t="s">
        <v>15</v>
      </c>
      <c r="F270" t="s">
        <v>715</v>
      </c>
      <c r="G270" t="str">
        <f>"00505102"</f>
        <v>00505102</v>
      </c>
      <c r="H270">
        <v>7.2</v>
      </c>
      <c r="I270">
        <v>0</v>
      </c>
      <c r="J270">
        <v>8</v>
      </c>
      <c r="M270">
        <v>8</v>
      </c>
      <c r="N270">
        <v>4</v>
      </c>
      <c r="O270">
        <v>2</v>
      </c>
      <c r="P270">
        <v>21.2</v>
      </c>
      <c r="Q270">
        <v>98</v>
      </c>
      <c r="R270">
        <v>98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98</v>
      </c>
      <c r="Z270">
        <v>0</v>
      </c>
      <c r="AA270">
        <v>0</v>
      </c>
      <c r="AC270">
        <v>119.2</v>
      </c>
    </row>
    <row r="271" spans="1:29">
      <c r="A271">
        <v>264</v>
      </c>
      <c r="B271">
        <v>1061</v>
      </c>
      <c r="C271" t="s">
        <v>716</v>
      </c>
      <c r="D271" t="s">
        <v>717</v>
      </c>
      <c r="E271" t="s">
        <v>718</v>
      </c>
      <c r="F271" t="s">
        <v>719</v>
      </c>
      <c r="G271" t="str">
        <f>"00442084"</f>
        <v>00442084</v>
      </c>
      <c r="H271">
        <v>0</v>
      </c>
      <c r="I271">
        <v>0</v>
      </c>
      <c r="J271">
        <v>8</v>
      </c>
      <c r="M271">
        <v>8</v>
      </c>
      <c r="N271">
        <v>4</v>
      </c>
      <c r="O271">
        <v>2</v>
      </c>
      <c r="P271">
        <v>14</v>
      </c>
      <c r="Q271">
        <v>96</v>
      </c>
      <c r="R271">
        <v>96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96</v>
      </c>
      <c r="Z271">
        <v>9</v>
      </c>
      <c r="AA271">
        <v>0</v>
      </c>
      <c r="AC271">
        <v>119</v>
      </c>
    </row>
    <row r="272" spans="1:29">
      <c r="A272">
        <v>265</v>
      </c>
      <c r="B272">
        <v>4106</v>
      </c>
      <c r="C272" t="s">
        <v>720</v>
      </c>
      <c r="D272" t="s">
        <v>276</v>
      </c>
      <c r="E272" t="s">
        <v>53</v>
      </c>
      <c r="F272" t="s">
        <v>721</v>
      </c>
      <c r="G272" t="str">
        <f>"00530156"</f>
        <v>00530156</v>
      </c>
      <c r="H272">
        <v>32</v>
      </c>
      <c r="I272">
        <v>0</v>
      </c>
      <c r="L272">
        <v>4</v>
      </c>
      <c r="M272">
        <v>4</v>
      </c>
      <c r="N272">
        <v>4</v>
      </c>
      <c r="O272">
        <v>2</v>
      </c>
      <c r="P272">
        <v>42</v>
      </c>
      <c r="Q272">
        <v>71</v>
      </c>
      <c r="R272">
        <v>71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71</v>
      </c>
      <c r="Z272">
        <v>6</v>
      </c>
      <c r="AA272">
        <v>0</v>
      </c>
      <c r="AC272">
        <v>119</v>
      </c>
    </row>
    <row r="273" spans="1:29">
      <c r="A273">
        <v>266</v>
      </c>
      <c r="B273">
        <v>4951</v>
      </c>
      <c r="C273" t="s">
        <v>722</v>
      </c>
      <c r="D273" t="s">
        <v>179</v>
      </c>
      <c r="E273" t="s">
        <v>36</v>
      </c>
      <c r="F273" t="s">
        <v>723</v>
      </c>
      <c r="G273" t="str">
        <f>"00147619"</f>
        <v>00147619</v>
      </c>
      <c r="H273">
        <v>64.8</v>
      </c>
      <c r="I273">
        <v>10</v>
      </c>
      <c r="L273">
        <v>4</v>
      </c>
      <c r="M273">
        <v>4</v>
      </c>
      <c r="N273">
        <v>4</v>
      </c>
      <c r="O273">
        <v>2</v>
      </c>
      <c r="P273">
        <v>84.8</v>
      </c>
      <c r="Q273">
        <v>31</v>
      </c>
      <c r="R273">
        <v>31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31</v>
      </c>
      <c r="Z273">
        <v>3</v>
      </c>
      <c r="AA273">
        <v>0</v>
      </c>
      <c r="AC273">
        <v>118.8</v>
      </c>
    </row>
    <row r="274" spans="1:29">
      <c r="A274">
        <v>267</v>
      </c>
      <c r="B274">
        <v>1091</v>
      </c>
      <c r="C274" t="s">
        <v>724</v>
      </c>
      <c r="D274" t="s">
        <v>145</v>
      </c>
      <c r="E274" t="s">
        <v>32</v>
      </c>
      <c r="F274" t="s">
        <v>725</v>
      </c>
      <c r="G274" t="str">
        <f>"201511032804"</f>
        <v>201511032804</v>
      </c>
      <c r="H274">
        <v>64.8</v>
      </c>
      <c r="I274">
        <v>10</v>
      </c>
      <c r="M274">
        <v>0</v>
      </c>
      <c r="N274">
        <v>4</v>
      </c>
      <c r="O274">
        <v>2</v>
      </c>
      <c r="P274">
        <v>80.8</v>
      </c>
      <c r="Q274">
        <v>35</v>
      </c>
      <c r="R274">
        <v>35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35</v>
      </c>
      <c r="Z274">
        <v>3</v>
      </c>
      <c r="AA274">
        <v>0</v>
      </c>
      <c r="AC274">
        <v>118.8</v>
      </c>
    </row>
    <row r="275" spans="1:29">
      <c r="A275">
        <v>268</v>
      </c>
      <c r="B275">
        <v>1171</v>
      </c>
      <c r="C275" t="s">
        <v>726</v>
      </c>
      <c r="D275" t="s">
        <v>27</v>
      </c>
      <c r="E275" t="s">
        <v>134</v>
      </c>
      <c r="F275" t="s">
        <v>727</v>
      </c>
      <c r="G275" t="str">
        <f>"00505343"</f>
        <v>00505343</v>
      </c>
      <c r="H275">
        <v>57.6</v>
      </c>
      <c r="I275">
        <v>0</v>
      </c>
      <c r="J275">
        <v>8</v>
      </c>
      <c r="L275">
        <v>4</v>
      </c>
      <c r="M275">
        <v>12</v>
      </c>
      <c r="N275">
        <v>4</v>
      </c>
      <c r="O275">
        <v>2</v>
      </c>
      <c r="P275">
        <v>75.599999999999994</v>
      </c>
      <c r="Q275">
        <v>37</v>
      </c>
      <c r="R275">
        <v>37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37</v>
      </c>
      <c r="Z275">
        <v>6</v>
      </c>
      <c r="AA275">
        <v>0</v>
      </c>
      <c r="AC275">
        <v>118.6</v>
      </c>
    </row>
    <row r="276" spans="1:29">
      <c r="A276">
        <v>269</v>
      </c>
      <c r="B276">
        <v>2651</v>
      </c>
      <c r="C276" t="s">
        <v>728</v>
      </c>
      <c r="D276" t="s">
        <v>631</v>
      </c>
      <c r="E276" t="s">
        <v>50</v>
      </c>
      <c r="F276" t="s">
        <v>729</v>
      </c>
      <c r="G276" t="str">
        <f>"00162235"</f>
        <v>00162235</v>
      </c>
      <c r="H276">
        <v>21.6</v>
      </c>
      <c r="I276">
        <v>0</v>
      </c>
      <c r="L276">
        <v>4</v>
      </c>
      <c r="M276">
        <v>4</v>
      </c>
      <c r="N276">
        <v>0</v>
      </c>
      <c r="O276">
        <v>2</v>
      </c>
      <c r="P276">
        <v>27.6</v>
      </c>
      <c r="Q276">
        <v>88</v>
      </c>
      <c r="R276">
        <v>88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88</v>
      </c>
      <c r="Z276">
        <v>3</v>
      </c>
      <c r="AA276">
        <v>0</v>
      </c>
      <c r="AC276">
        <v>118.6</v>
      </c>
    </row>
    <row r="277" spans="1:29">
      <c r="A277">
        <v>270</v>
      </c>
      <c r="B277">
        <v>3884</v>
      </c>
      <c r="C277" t="s">
        <v>730</v>
      </c>
      <c r="D277" t="s">
        <v>27</v>
      </c>
      <c r="E277" t="s">
        <v>115</v>
      </c>
      <c r="F277" t="s">
        <v>731</v>
      </c>
      <c r="G277" t="str">
        <f>"00480146"</f>
        <v>00480146</v>
      </c>
      <c r="H277">
        <v>38.24</v>
      </c>
      <c r="I277">
        <v>10</v>
      </c>
      <c r="J277">
        <v>8</v>
      </c>
      <c r="M277">
        <v>8</v>
      </c>
      <c r="N277">
        <v>4</v>
      </c>
      <c r="O277">
        <v>2</v>
      </c>
      <c r="P277">
        <v>62.24</v>
      </c>
      <c r="Q277">
        <v>53</v>
      </c>
      <c r="R277">
        <v>53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53</v>
      </c>
      <c r="Z277">
        <v>3</v>
      </c>
      <c r="AA277">
        <v>0</v>
      </c>
      <c r="AC277">
        <v>118.24</v>
      </c>
    </row>
    <row r="278" spans="1:29">
      <c r="A278">
        <v>271</v>
      </c>
      <c r="B278">
        <v>225</v>
      </c>
      <c r="C278" t="s">
        <v>732</v>
      </c>
      <c r="D278" t="s">
        <v>733</v>
      </c>
      <c r="E278" t="s">
        <v>50</v>
      </c>
      <c r="F278" t="s">
        <v>734</v>
      </c>
      <c r="G278" t="str">
        <f>"00531938"</f>
        <v>00531938</v>
      </c>
      <c r="H278">
        <v>43.2</v>
      </c>
      <c r="I278">
        <v>0</v>
      </c>
      <c r="L278">
        <v>4</v>
      </c>
      <c r="M278">
        <v>4</v>
      </c>
      <c r="N278">
        <v>4</v>
      </c>
      <c r="O278">
        <v>2</v>
      </c>
      <c r="P278">
        <v>53.2</v>
      </c>
      <c r="Q278">
        <v>62</v>
      </c>
      <c r="R278">
        <v>62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62</v>
      </c>
      <c r="Z278">
        <v>3</v>
      </c>
      <c r="AA278">
        <v>0</v>
      </c>
      <c r="AC278">
        <v>118.2</v>
      </c>
    </row>
    <row r="279" spans="1:29">
      <c r="A279">
        <v>272</v>
      </c>
      <c r="B279">
        <v>3078</v>
      </c>
      <c r="C279" t="s">
        <v>223</v>
      </c>
      <c r="D279" t="s">
        <v>735</v>
      </c>
      <c r="E279" t="s">
        <v>736</v>
      </c>
      <c r="F279" t="s">
        <v>737</v>
      </c>
      <c r="G279" t="str">
        <f>"00508967"</f>
        <v>00508967</v>
      </c>
      <c r="H279">
        <v>37.200000000000003</v>
      </c>
      <c r="I279">
        <v>0</v>
      </c>
      <c r="M279">
        <v>0</v>
      </c>
      <c r="N279">
        <v>4</v>
      </c>
      <c r="O279">
        <v>2</v>
      </c>
      <c r="P279">
        <v>43.2</v>
      </c>
      <c r="Q279">
        <v>75</v>
      </c>
      <c r="R279">
        <v>75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75</v>
      </c>
      <c r="Z279">
        <v>0</v>
      </c>
      <c r="AA279">
        <v>0</v>
      </c>
      <c r="AC279">
        <v>118.2</v>
      </c>
    </row>
    <row r="280" spans="1:29">
      <c r="A280">
        <v>273</v>
      </c>
      <c r="B280">
        <v>3211</v>
      </c>
      <c r="C280" t="s">
        <v>738</v>
      </c>
      <c r="D280" t="s">
        <v>739</v>
      </c>
      <c r="E280" t="s">
        <v>134</v>
      </c>
      <c r="F280" t="s">
        <v>740</v>
      </c>
      <c r="G280" t="str">
        <f>"00509442"</f>
        <v>00509442</v>
      </c>
      <c r="H280">
        <v>25.84</v>
      </c>
      <c r="I280">
        <v>0</v>
      </c>
      <c r="M280">
        <v>0</v>
      </c>
      <c r="N280">
        <v>4</v>
      </c>
      <c r="O280">
        <v>0</v>
      </c>
      <c r="P280">
        <v>29.84</v>
      </c>
      <c r="Q280">
        <v>55</v>
      </c>
      <c r="R280">
        <v>55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55</v>
      </c>
      <c r="Z280">
        <v>6</v>
      </c>
      <c r="AA280">
        <v>27.2</v>
      </c>
      <c r="AC280">
        <v>118.04</v>
      </c>
    </row>
    <row r="281" spans="1:29">
      <c r="A281">
        <v>274</v>
      </c>
      <c r="B281">
        <v>4371</v>
      </c>
      <c r="C281" t="s">
        <v>741</v>
      </c>
      <c r="D281" t="s">
        <v>473</v>
      </c>
      <c r="E281" t="s">
        <v>15</v>
      </c>
      <c r="F281" t="s">
        <v>742</v>
      </c>
      <c r="G281" t="str">
        <f>"201511043184"</f>
        <v>201511043184</v>
      </c>
      <c r="H281">
        <v>40</v>
      </c>
      <c r="I281">
        <v>10</v>
      </c>
      <c r="M281">
        <v>0</v>
      </c>
      <c r="N281">
        <v>4</v>
      </c>
      <c r="O281">
        <v>2</v>
      </c>
      <c r="P281">
        <v>56</v>
      </c>
      <c r="Q281">
        <v>18</v>
      </c>
      <c r="R281">
        <v>18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18</v>
      </c>
      <c r="Z281">
        <v>12</v>
      </c>
      <c r="AA281">
        <v>32</v>
      </c>
      <c r="AC281">
        <v>118</v>
      </c>
    </row>
    <row r="282" spans="1:29">
      <c r="A282">
        <v>275</v>
      </c>
      <c r="B282">
        <v>1391</v>
      </c>
      <c r="C282" t="s">
        <v>743</v>
      </c>
      <c r="D282" t="s">
        <v>744</v>
      </c>
      <c r="E282" t="s">
        <v>745</v>
      </c>
      <c r="F282" t="s">
        <v>746</v>
      </c>
      <c r="G282" t="str">
        <f>"200809000079"</f>
        <v>200809000079</v>
      </c>
      <c r="H282">
        <v>36</v>
      </c>
      <c r="I282">
        <v>0</v>
      </c>
      <c r="K282">
        <v>6</v>
      </c>
      <c r="M282">
        <v>6</v>
      </c>
      <c r="N282">
        <v>4</v>
      </c>
      <c r="O282">
        <v>0</v>
      </c>
      <c r="P282">
        <v>46</v>
      </c>
      <c r="Q282">
        <v>63</v>
      </c>
      <c r="R282">
        <v>63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63</v>
      </c>
      <c r="Z282">
        <v>9</v>
      </c>
      <c r="AA282">
        <v>0</v>
      </c>
      <c r="AC282">
        <v>118</v>
      </c>
    </row>
    <row r="283" spans="1:29">
      <c r="A283">
        <v>276</v>
      </c>
      <c r="B283">
        <v>1400</v>
      </c>
      <c r="C283" t="s">
        <v>747</v>
      </c>
      <c r="D283" t="s">
        <v>27</v>
      </c>
      <c r="E283" t="s">
        <v>18</v>
      </c>
      <c r="F283" t="s">
        <v>748</v>
      </c>
      <c r="G283" t="str">
        <f>"00480825"</f>
        <v>00480825</v>
      </c>
      <c r="H283">
        <v>72</v>
      </c>
      <c r="I283">
        <v>0</v>
      </c>
      <c r="L283">
        <v>4</v>
      </c>
      <c r="M283">
        <v>4</v>
      </c>
      <c r="N283">
        <v>4</v>
      </c>
      <c r="O283">
        <v>0</v>
      </c>
      <c r="P283">
        <v>80</v>
      </c>
      <c r="Q283">
        <v>38</v>
      </c>
      <c r="R283">
        <v>38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38</v>
      </c>
      <c r="Z283">
        <v>0</v>
      </c>
      <c r="AA283">
        <v>0</v>
      </c>
      <c r="AC283">
        <v>118</v>
      </c>
    </row>
    <row r="284" spans="1:29">
      <c r="A284">
        <v>277</v>
      </c>
      <c r="B284">
        <v>190</v>
      </c>
      <c r="C284" t="s">
        <v>749</v>
      </c>
      <c r="D284" t="s">
        <v>39</v>
      </c>
      <c r="E284" t="s">
        <v>134</v>
      </c>
      <c r="F284" t="s">
        <v>750</v>
      </c>
      <c r="G284" t="str">
        <f>"00503759"</f>
        <v>00503759</v>
      </c>
      <c r="H284">
        <v>36</v>
      </c>
      <c r="I284">
        <v>10</v>
      </c>
      <c r="L284">
        <v>4</v>
      </c>
      <c r="M284">
        <v>4</v>
      </c>
      <c r="N284">
        <v>4</v>
      </c>
      <c r="O284">
        <v>2</v>
      </c>
      <c r="P284">
        <v>56</v>
      </c>
      <c r="Q284">
        <v>62</v>
      </c>
      <c r="R284">
        <v>62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62</v>
      </c>
      <c r="Z284">
        <v>0</v>
      </c>
      <c r="AA284">
        <v>0</v>
      </c>
      <c r="AC284">
        <v>118</v>
      </c>
    </row>
    <row r="285" spans="1:29">
      <c r="A285">
        <v>278</v>
      </c>
      <c r="B285">
        <v>1613</v>
      </c>
      <c r="C285" t="s">
        <v>751</v>
      </c>
      <c r="D285" t="s">
        <v>752</v>
      </c>
      <c r="E285" t="s">
        <v>12</v>
      </c>
      <c r="F285" t="s">
        <v>753</v>
      </c>
      <c r="G285" t="str">
        <f>"00441524"</f>
        <v>00441524</v>
      </c>
      <c r="H285">
        <v>26</v>
      </c>
      <c r="I285">
        <v>10</v>
      </c>
      <c r="K285">
        <v>6</v>
      </c>
      <c r="M285">
        <v>6</v>
      </c>
      <c r="N285">
        <v>4</v>
      </c>
      <c r="O285">
        <v>2</v>
      </c>
      <c r="P285">
        <v>48</v>
      </c>
      <c r="Q285">
        <v>70</v>
      </c>
      <c r="R285">
        <v>70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70</v>
      </c>
      <c r="Z285">
        <v>0</v>
      </c>
      <c r="AA285">
        <v>0</v>
      </c>
      <c r="AC285">
        <v>118</v>
      </c>
    </row>
    <row r="286" spans="1:29">
      <c r="A286">
        <v>279</v>
      </c>
      <c r="B286">
        <v>1642</v>
      </c>
      <c r="C286" t="s">
        <v>754</v>
      </c>
      <c r="D286" t="s">
        <v>164</v>
      </c>
      <c r="E286" t="s">
        <v>227</v>
      </c>
      <c r="F286" t="s">
        <v>755</v>
      </c>
      <c r="G286" t="str">
        <f>"00441548"</f>
        <v>00441548</v>
      </c>
      <c r="H286">
        <v>36.840000000000003</v>
      </c>
      <c r="I286">
        <v>10</v>
      </c>
      <c r="K286">
        <v>6</v>
      </c>
      <c r="M286">
        <v>6</v>
      </c>
      <c r="N286">
        <v>4</v>
      </c>
      <c r="O286">
        <v>2</v>
      </c>
      <c r="P286">
        <v>58.84</v>
      </c>
      <c r="Q286">
        <v>53</v>
      </c>
      <c r="R286">
        <v>53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53</v>
      </c>
      <c r="Z286">
        <v>6</v>
      </c>
      <c r="AA286">
        <v>0</v>
      </c>
      <c r="AC286">
        <v>117.84</v>
      </c>
    </row>
    <row r="287" spans="1:29">
      <c r="A287">
        <v>280</v>
      </c>
      <c r="B287">
        <v>482</v>
      </c>
      <c r="C287" t="s">
        <v>756</v>
      </c>
      <c r="D287" t="s">
        <v>130</v>
      </c>
      <c r="E287" t="s">
        <v>134</v>
      </c>
      <c r="F287" t="s">
        <v>757</v>
      </c>
      <c r="G287" t="str">
        <f>"00209804"</f>
        <v>00209804</v>
      </c>
      <c r="H287">
        <v>64.8</v>
      </c>
      <c r="I287">
        <v>0</v>
      </c>
      <c r="J287">
        <v>8</v>
      </c>
      <c r="M287">
        <v>8</v>
      </c>
      <c r="N287">
        <v>4</v>
      </c>
      <c r="O287">
        <v>2</v>
      </c>
      <c r="P287">
        <v>78.8</v>
      </c>
      <c r="Q287">
        <v>36</v>
      </c>
      <c r="R287">
        <v>36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36</v>
      </c>
      <c r="Z287">
        <v>3</v>
      </c>
      <c r="AA287">
        <v>0</v>
      </c>
      <c r="AC287">
        <v>117.8</v>
      </c>
    </row>
    <row r="288" spans="1:29">
      <c r="A288">
        <v>281</v>
      </c>
      <c r="B288">
        <v>874</v>
      </c>
      <c r="C288" t="s">
        <v>758</v>
      </c>
      <c r="D288" t="s">
        <v>759</v>
      </c>
      <c r="E288" t="s">
        <v>760</v>
      </c>
      <c r="F288" t="s">
        <v>761</v>
      </c>
      <c r="G288" t="str">
        <f>"00525320"</f>
        <v>00525320</v>
      </c>
      <c r="H288">
        <v>28.8</v>
      </c>
      <c r="I288">
        <v>0</v>
      </c>
      <c r="J288">
        <v>8</v>
      </c>
      <c r="M288">
        <v>8</v>
      </c>
      <c r="N288">
        <v>4</v>
      </c>
      <c r="O288">
        <v>2</v>
      </c>
      <c r="P288">
        <v>42.8</v>
      </c>
      <c r="Q288">
        <v>72</v>
      </c>
      <c r="R288">
        <v>72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72</v>
      </c>
      <c r="Z288">
        <v>3</v>
      </c>
      <c r="AA288">
        <v>0</v>
      </c>
      <c r="AC288">
        <v>117.8</v>
      </c>
    </row>
    <row r="289" spans="1:29">
      <c r="A289">
        <v>282</v>
      </c>
      <c r="B289">
        <v>1588</v>
      </c>
      <c r="C289" t="s">
        <v>762</v>
      </c>
      <c r="D289" t="s">
        <v>95</v>
      </c>
      <c r="E289" t="s">
        <v>134</v>
      </c>
      <c r="F289" t="s">
        <v>763</v>
      </c>
      <c r="G289" t="str">
        <f>"00162612"</f>
        <v>00162612</v>
      </c>
      <c r="H289">
        <v>35.72</v>
      </c>
      <c r="I289">
        <v>10</v>
      </c>
      <c r="M289">
        <v>0</v>
      </c>
      <c r="N289">
        <v>0</v>
      </c>
      <c r="O289">
        <v>2</v>
      </c>
      <c r="P289">
        <v>47.72</v>
      </c>
      <c r="Q289">
        <v>64</v>
      </c>
      <c r="R289">
        <v>64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64</v>
      </c>
      <c r="Z289">
        <v>6</v>
      </c>
      <c r="AA289">
        <v>0</v>
      </c>
      <c r="AC289">
        <v>117.72</v>
      </c>
    </row>
    <row r="290" spans="1:29">
      <c r="A290">
        <v>283</v>
      </c>
      <c r="B290">
        <v>2103</v>
      </c>
      <c r="C290" t="s">
        <v>764</v>
      </c>
      <c r="D290" t="s">
        <v>130</v>
      </c>
      <c r="E290" t="s">
        <v>621</v>
      </c>
      <c r="F290" t="s">
        <v>765</v>
      </c>
      <c r="G290" t="str">
        <f>"201406009094"</f>
        <v>201406009094</v>
      </c>
      <c r="H290">
        <v>38.68</v>
      </c>
      <c r="I290">
        <v>0</v>
      </c>
      <c r="L290">
        <v>4</v>
      </c>
      <c r="M290">
        <v>4</v>
      </c>
      <c r="N290">
        <v>4</v>
      </c>
      <c r="O290">
        <v>0</v>
      </c>
      <c r="P290">
        <v>46.68</v>
      </c>
      <c r="Q290">
        <v>65</v>
      </c>
      <c r="R290">
        <v>65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65</v>
      </c>
      <c r="Z290">
        <v>6</v>
      </c>
      <c r="AA290">
        <v>0</v>
      </c>
      <c r="AC290">
        <v>117.68</v>
      </c>
    </row>
    <row r="291" spans="1:29">
      <c r="A291">
        <v>284</v>
      </c>
      <c r="B291">
        <v>599</v>
      </c>
      <c r="C291" t="s">
        <v>766</v>
      </c>
      <c r="D291" t="s">
        <v>86</v>
      </c>
      <c r="E291" t="s">
        <v>66</v>
      </c>
      <c r="F291" t="s">
        <v>767</v>
      </c>
      <c r="G291" t="str">
        <f>"201511033492"</f>
        <v>201511033492</v>
      </c>
      <c r="H291">
        <v>31.64</v>
      </c>
      <c r="I291">
        <v>0</v>
      </c>
      <c r="M291">
        <v>0</v>
      </c>
      <c r="N291">
        <v>4</v>
      </c>
      <c r="O291">
        <v>2</v>
      </c>
      <c r="P291">
        <v>37.64</v>
      </c>
      <c r="Q291">
        <v>80</v>
      </c>
      <c r="R291">
        <v>80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80</v>
      </c>
      <c r="Z291">
        <v>0</v>
      </c>
      <c r="AA291">
        <v>0</v>
      </c>
      <c r="AC291">
        <v>117.64</v>
      </c>
    </row>
    <row r="292" spans="1:29">
      <c r="A292">
        <v>285</v>
      </c>
      <c r="B292">
        <v>2912</v>
      </c>
      <c r="C292" t="s">
        <v>768</v>
      </c>
      <c r="D292" t="s">
        <v>185</v>
      </c>
      <c r="E292" t="s">
        <v>482</v>
      </c>
      <c r="F292" t="s">
        <v>769</v>
      </c>
      <c r="G292" t="str">
        <f>"00532118"</f>
        <v>00532118</v>
      </c>
      <c r="H292">
        <v>57.6</v>
      </c>
      <c r="I292">
        <v>0</v>
      </c>
      <c r="L292">
        <v>4</v>
      </c>
      <c r="M292">
        <v>4</v>
      </c>
      <c r="N292">
        <v>4</v>
      </c>
      <c r="O292">
        <v>0</v>
      </c>
      <c r="P292">
        <v>65.599999999999994</v>
      </c>
      <c r="Q292">
        <v>46</v>
      </c>
      <c r="R292">
        <v>46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46</v>
      </c>
      <c r="Z292">
        <v>6</v>
      </c>
      <c r="AA292">
        <v>0</v>
      </c>
      <c r="AC292">
        <v>117.6</v>
      </c>
    </row>
    <row r="293" spans="1:29">
      <c r="A293">
        <v>286</v>
      </c>
      <c r="B293">
        <v>1580</v>
      </c>
      <c r="C293" t="s">
        <v>770</v>
      </c>
      <c r="D293" t="s">
        <v>24</v>
      </c>
      <c r="E293" t="s">
        <v>115</v>
      </c>
      <c r="F293" t="s">
        <v>771</v>
      </c>
      <c r="G293" t="str">
        <f>"00483437"</f>
        <v>00483437</v>
      </c>
      <c r="H293">
        <v>57.6</v>
      </c>
      <c r="I293">
        <v>0</v>
      </c>
      <c r="J293">
        <v>8</v>
      </c>
      <c r="M293">
        <v>8</v>
      </c>
      <c r="N293">
        <v>4</v>
      </c>
      <c r="O293">
        <v>2</v>
      </c>
      <c r="P293">
        <v>71.599999999999994</v>
      </c>
      <c r="Q293">
        <v>46</v>
      </c>
      <c r="R293">
        <v>46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46</v>
      </c>
      <c r="Z293">
        <v>0</v>
      </c>
      <c r="AA293">
        <v>0</v>
      </c>
      <c r="AC293">
        <v>117.6</v>
      </c>
    </row>
    <row r="294" spans="1:29">
      <c r="A294">
        <v>287</v>
      </c>
      <c r="B294">
        <v>4395</v>
      </c>
      <c r="C294" t="s">
        <v>178</v>
      </c>
      <c r="D294" t="s">
        <v>24</v>
      </c>
      <c r="E294" t="s">
        <v>379</v>
      </c>
      <c r="F294" t="s">
        <v>772</v>
      </c>
      <c r="G294" t="str">
        <f>"00532313"</f>
        <v>00532313</v>
      </c>
      <c r="H294">
        <v>57.6</v>
      </c>
      <c r="I294">
        <v>0</v>
      </c>
      <c r="L294">
        <v>4</v>
      </c>
      <c r="M294">
        <v>4</v>
      </c>
      <c r="N294">
        <v>4</v>
      </c>
      <c r="O294">
        <v>2</v>
      </c>
      <c r="P294">
        <v>67.599999999999994</v>
      </c>
      <c r="Q294">
        <v>50</v>
      </c>
      <c r="R294">
        <v>50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50</v>
      </c>
      <c r="Z294">
        <v>0</v>
      </c>
      <c r="AA294">
        <v>0</v>
      </c>
      <c r="AC294">
        <v>117.6</v>
      </c>
    </row>
    <row r="295" spans="1:29">
      <c r="A295">
        <v>288</v>
      </c>
      <c r="B295">
        <v>520</v>
      </c>
      <c r="C295" t="s">
        <v>773</v>
      </c>
      <c r="D295" t="s">
        <v>465</v>
      </c>
      <c r="E295" t="s">
        <v>89</v>
      </c>
      <c r="F295" t="s">
        <v>774</v>
      </c>
      <c r="G295" t="str">
        <f>"00441621"</f>
        <v>00441621</v>
      </c>
      <c r="H295">
        <v>50.4</v>
      </c>
      <c r="I295">
        <v>10</v>
      </c>
      <c r="K295">
        <v>6</v>
      </c>
      <c r="M295">
        <v>6</v>
      </c>
      <c r="N295">
        <v>4</v>
      </c>
      <c r="O295">
        <v>2</v>
      </c>
      <c r="P295">
        <v>72.400000000000006</v>
      </c>
      <c r="Q295">
        <v>39</v>
      </c>
      <c r="R295">
        <v>39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39</v>
      </c>
      <c r="Z295">
        <v>6</v>
      </c>
      <c r="AA295">
        <v>0</v>
      </c>
      <c r="AC295">
        <v>117.4</v>
      </c>
    </row>
    <row r="296" spans="1:29">
      <c r="A296">
        <v>289</v>
      </c>
      <c r="B296">
        <v>2834</v>
      </c>
      <c r="C296" t="s">
        <v>775</v>
      </c>
      <c r="D296" t="s">
        <v>776</v>
      </c>
      <c r="E296" t="s">
        <v>777</v>
      </c>
      <c r="F296" t="s">
        <v>778</v>
      </c>
      <c r="G296" t="str">
        <f>"00441593"</f>
        <v>00441593</v>
      </c>
      <c r="H296">
        <v>14.4</v>
      </c>
      <c r="I296">
        <v>10</v>
      </c>
      <c r="M296">
        <v>0</v>
      </c>
      <c r="N296">
        <v>4</v>
      </c>
      <c r="O296">
        <v>2</v>
      </c>
      <c r="P296">
        <v>30.4</v>
      </c>
      <c r="Q296">
        <v>81</v>
      </c>
      <c r="R296">
        <v>81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81</v>
      </c>
      <c r="Z296">
        <v>6</v>
      </c>
      <c r="AA296">
        <v>0</v>
      </c>
      <c r="AC296">
        <v>117.4</v>
      </c>
    </row>
    <row r="297" spans="1:29">
      <c r="A297">
        <v>290</v>
      </c>
      <c r="B297">
        <v>566</v>
      </c>
      <c r="C297" t="s">
        <v>779</v>
      </c>
      <c r="D297" t="s">
        <v>349</v>
      </c>
      <c r="E297" t="s">
        <v>28</v>
      </c>
      <c r="F297" t="s">
        <v>780</v>
      </c>
      <c r="G297" t="str">
        <f>"00471722"</f>
        <v>00471722</v>
      </c>
      <c r="H297">
        <v>50.4</v>
      </c>
      <c r="I297">
        <v>10</v>
      </c>
      <c r="J297">
        <v>16</v>
      </c>
      <c r="M297">
        <v>16</v>
      </c>
      <c r="N297">
        <v>4</v>
      </c>
      <c r="O297">
        <v>2</v>
      </c>
      <c r="P297">
        <v>82.4</v>
      </c>
      <c r="Q297">
        <v>32</v>
      </c>
      <c r="R297">
        <v>32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32</v>
      </c>
      <c r="Z297">
        <v>3</v>
      </c>
      <c r="AA297">
        <v>0</v>
      </c>
      <c r="AC297">
        <v>117.4</v>
      </c>
    </row>
    <row r="298" spans="1:29">
      <c r="A298">
        <v>291</v>
      </c>
      <c r="B298">
        <v>869</v>
      </c>
      <c r="C298" t="s">
        <v>781</v>
      </c>
      <c r="D298" t="s">
        <v>134</v>
      </c>
      <c r="E298" t="s">
        <v>50</v>
      </c>
      <c r="F298" t="s">
        <v>782</v>
      </c>
      <c r="G298" t="str">
        <f>"200802002580"</f>
        <v>200802002580</v>
      </c>
      <c r="H298">
        <v>50.4</v>
      </c>
      <c r="I298">
        <v>0</v>
      </c>
      <c r="J298">
        <v>8</v>
      </c>
      <c r="M298">
        <v>8</v>
      </c>
      <c r="N298">
        <v>4</v>
      </c>
      <c r="O298">
        <v>2</v>
      </c>
      <c r="P298">
        <v>64.400000000000006</v>
      </c>
      <c r="Q298">
        <v>53</v>
      </c>
      <c r="R298">
        <v>53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53</v>
      </c>
      <c r="Z298">
        <v>0</v>
      </c>
      <c r="AA298">
        <v>0</v>
      </c>
      <c r="AC298">
        <v>117.4</v>
      </c>
    </row>
    <row r="299" spans="1:29">
      <c r="A299">
        <v>292</v>
      </c>
      <c r="B299">
        <v>221</v>
      </c>
      <c r="C299" t="s">
        <v>783</v>
      </c>
      <c r="D299" t="s">
        <v>784</v>
      </c>
      <c r="E299" t="s">
        <v>165</v>
      </c>
      <c r="F299" t="s">
        <v>785</v>
      </c>
      <c r="G299" t="str">
        <f>"200802006531"</f>
        <v>200802006531</v>
      </c>
      <c r="H299">
        <v>43.2</v>
      </c>
      <c r="I299">
        <v>0</v>
      </c>
      <c r="K299">
        <v>6</v>
      </c>
      <c r="M299">
        <v>6</v>
      </c>
      <c r="N299">
        <v>0</v>
      </c>
      <c r="O299">
        <v>0</v>
      </c>
      <c r="P299">
        <v>49.2</v>
      </c>
      <c r="Q299">
        <v>62</v>
      </c>
      <c r="R299">
        <v>62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62</v>
      </c>
      <c r="Z299">
        <v>6</v>
      </c>
      <c r="AA299">
        <v>0</v>
      </c>
      <c r="AC299">
        <v>117.2</v>
      </c>
    </row>
    <row r="300" spans="1:29">
      <c r="A300">
        <v>293</v>
      </c>
      <c r="B300">
        <v>1887</v>
      </c>
      <c r="C300" t="s">
        <v>786</v>
      </c>
      <c r="D300" t="s">
        <v>787</v>
      </c>
      <c r="E300" t="s">
        <v>18</v>
      </c>
      <c r="F300" t="s">
        <v>788</v>
      </c>
      <c r="G300" t="str">
        <f>"00523692"</f>
        <v>00523692</v>
      </c>
      <c r="H300">
        <v>23.2</v>
      </c>
      <c r="I300">
        <v>10</v>
      </c>
      <c r="M300">
        <v>0</v>
      </c>
      <c r="N300">
        <v>4</v>
      </c>
      <c r="O300">
        <v>0</v>
      </c>
      <c r="P300">
        <v>37.200000000000003</v>
      </c>
      <c r="Q300">
        <v>77</v>
      </c>
      <c r="R300">
        <v>77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77</v>
      </c>
      <c r="Z300">
        <v>3</v>
      </c>
      <c r="AA300">
        <v>0</v>
      </c>
      <c r="AC300">
        <v>117.2</v>
      </c>
    </row>
    <row r="301" spans="1:29">
      <c r="A301">
        <v>294</v>
      </c>
      <c r="B301">
        <v>3852</v>
      </c>
      <c r="C301" t="s">
        <v>789</v>
      </c>
      <c r="D301" t="s">
        <v>790</v>
      </c>
      <c r="E301" t="s">
        <v>36</v>
      </c>
      <c r="F301" t="s">
        <v>791</v>
      </c>
      <c r="G301" t="str">
        <f>"00485074"</f>
        <v>00485074</v>
      </c>
      <c r="H301">
        <v>43.2</v>
      </c>
      <c r="I301">
        <v>10</v>
      </c>
      <c r="J301">
        <v>8</v>
      </c>
      <c r="M301">
        <v>8</v>
      </c>
      <c r="N301">
        <v>4</v>
      </c>
      <c r="O301">
        <v>2</v>
      </c>
      <c r="P301">
        <v>67.2</v>
      </c>
      <c r="Q301">
        <v>50</v>
      </c>
      <c r="R301">
        <v>50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50</v>
      </c>
      <c r="Z301">
        <v>0</v>
      </c>
      <c r="AA301">
        <v>0</v>
      </c>
      <c r="AC301">
        <v>117.2</v>
      </c>
    </row>
    <row r="302" spans="1:29">
      <c r="A302">
        <v>295</v>
      </c>
      <c r="B302">
        <v>1529</v>
      </c>
      <c r="C302" t="s">
        <v>792</v>
      </c>
      <c r="D302" t="s">
        <v>17</v>
      </c>
      <c r="E302" t="s">
        <v>227</v>
      </c>
      <c r="F302" t="s">
        <v>793</v>
      </c>
      <c r="G302" t="str">
        <f>"00508097"</f>
        <v>00508097</v>
      </c>
      <c r="H302">
        <v>43.2</v>
      </c>
      <c r="I302">
        <v>10</v>
      </c>
      <c r="J302">
        <v>8</v>
      </c>
      <c r="M302">
        <v>8</v>
      </c>
      <c r="N302">
        <v>4</v>
      </c>
      <c r="O302">
        <v>0</v>
      </c>
      <c r="P302">
        <v>65.2</v>
      </c>
      <c r="Q302">
        <v>52</v>
      </c>
      <c r="R302">
        <v>52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52</v>
      </c>
      <c r="Z302">
        <v>0</v>
      </c>
      <c r="AA302">
        <v>0</v>
      </c>
      <c r="AC302">
        <v>117.2</v>
      </c>
    </row>
    <row r="303" spans="1:29">
      <c r="A303">
        <v>296</v>
      </c>
      <c r="B303">
        <v>3145</v>
      </c>
      <c r="C303" t="s">
        <v>794</v>
      </c>
      <c r="D303" t="s">
        <v>108</v>
      </c>
      <c r="E303" t="s">
        <v>777</v>
      </c>
      <c r="F303" t="s">
        <v>795</v>
      </c>
      <c r="G303" t="str">
        <f>"00478776"</f>
        <v>00478776</v>
      </c>
      <c r="H303">
        <v>43.2</v>
      </c>
      <c r="I303">
        <v>0</v>
      </c>
      <c r="J303">
        <v>8</v>
      </c>
      <c r="M303">
        <v>8</v>
      </c>
      <c r="N303">
        <v>4</v>
      </c>
      <c r="O303">
        <v>0</v>
      </c>
      <c r="P303">
        <v>55.2</v>
      </c>
      <c r="Q303">
        <v>62</v>
      </c>
      <c r="R303">
        <v>62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62</v>
      </c>
      <c r="Z303">
        <v>0</v>
      </c>
      <c r="AA303">
        <v>0</v>
      </c>
      <c r="AC303">
        <v>117.2</v>
      </c>
    </row>
    <row r="304" spans="1:29">
      <c r="A304">
        <v>297</v>
      </c>
      <c r="B304">
        <v>2314</v>
      </c>
      <c r="C304" t="s">
        <v>563</v>
      </c>
      <c r="D304" t="s">
        <v>130</v>
      </c>
      <c r="E304" t="s">
        <v>796</v>
      </c>
      <c r="F304" t="s">
        <v>797</v>
      </c>
      <c r="G304" t="str">
        <f>"201511037895"</f>
        <v>201511037895</v>
      </c>
      <c r="H304">
        <v>36</v>
      </c>
      <c r="I304">
        <v>10</v>
      </c>
      <c r="L304">
        <v>4</v>
      </c>
      <c r="M304">
        <v>4</v>
      </c>
      <c r="N304">
        <v>4</v>
      </c>
      <c r="O304">
        <v>2</v>
      </c>
      <c r="P304">
        <v>56</v>
      </c>
      <c r="Q304">
        <v>61</v>
      </c>
      <c r="R304">
        <v>61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61</v>
      </c>
      <c r="Z304">
        <v>0</v>
      </c>
      <c r="AA304">
        <v>0</v>
      </c>
      <c r="AC304">
        <v>117</v>
      </c>
    </row>
    <row r="305" spans="1:29">
      <c r="A305">
        <v>298</v>
      </c>
      <c r="B305">
        <v>3043</v>
      </c>
      <c r="C305" t="s">
        <v>798</v>
      </c>
      <c r="D305" t="s">
        <v>205</v>
      </c>
      <c r="E305" t="s">
        <v>337</v>
      </c>
      <c r="F305" t="s">
        <v>799</v>
      </c>
      <c r="G305" t="str">
        <f>"00152450"</f>
        <v>00152450</v>
      </c>
      <c r="H305">
        <v>0</v>
      </c>
      <c r="I305">
        <v>10</v>
      </c>
      <c r="L305">
        <v>4</v>
      </c>
      <c r="M305">
        <v>4</v>
      </c>
      <c r="N305">
        <v>4</v>
      </c>
      <c r="O305">
        <v>2</v>
      </c>
      <c r="P305">
        <v>20</v>
      </c>
      <c r="Q305">
        <v>97</v>
      </c>
      <c r="R305">
        <v>97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97</v>
      </c>
      <c r="Z305">
        <v>0</v>
      </c>
      <c r="AA305">
        <v>0</v>
      </c>
      <c r="AC305">
        <v>117</v>
      </c>
    </row>
    <row r="306" spans="1:29">
      <c r="A306">
        <v>299</v>
      </c>
      <c r="B306">
        <v>2704</v>
      </c>
      <c r="C306" t="s">
        <v>800</v>
      </c>
      <c r="D306" t="s">
        <v>86</v>
      </c>
      <c r="E306" t="s">
        <v>165</v>
      </c>
      <c r="F306" t="s">
        <v>801</v>
      </c>
      <c r="G306" t="str">
        <f>"00504115"</f>
        <v>00504115</v>
      </c>
      <c r="H306">
        <v>28.8</v>
      </c>
      <c r="I306">
        <v>0</v>
      </c>
      <c r="M306">
        <v>0</v>
      </c>
      <c r="N306">
        <v>4</v>
      </c>
      <c r="O306">
        <v>2</v>
      </c>
      <c r="P306">
        <v>34.799999999999997</v>
      </c>
      <c r="Q306">
        <v>73</v>
      </c>
      <c r="R306">
        <v>73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73</v>
      </c>
      <c r="Z306">
        <v>9</v>
      </c>
      <c r="AA306">
        <v>0</v>
      </c>
      <c r="AC306">
        <v>116.8</v>
      </c>
    </row>
    <row r="307" spans="1:29">
      <c r="A307">
        <v>300</v>
      </c>
      <c r="B307">
        <v>585</v>
      </c>
      <c r="C307" t="s">
        <v>802</v>
      </c>
      <c r="D307" t="s">
        <v>803</v>
      </c>
      <c r="E307" t="s">
        <v>804</v>
      </c>
      <c r="F307" t="s">
        <v>805</v>
      </c>
      <c r="G307" t="str">
        <f>"00504398"</f>
        <v>00504398</v>
      </c>
      <c r="H307">
        <v>28.8</v>
      </c>
      <c r="I307">
        <v>0</v>
      </c>
      <c r="M307">
        <v>0</v>
      </c>
      <c r="N307">
        <v>4</v>
      </c>
      <c r="O307">
        <v>2</v>
      </c>
      <c r="P307">
        <v>34.799999999999997</v>
      </c>
      <c r="Q307">
        <v>79</v>
      </c>
      <c r="R307">
        <v>79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79</v>
      </c>
      <c r="Z307">
        <v>3</v>
      </c>
      <c r="AA307">
        <v>0</v>
      </c>
      <c r="AC307">
        <v>116.8</v>
      </c>
    </row>
    <row r="308" spans="1:29">
      <c r="A308">
        <v>301</v>
      </c>
      <c r="B308">
        <v>290</v>
      </c>
      <c r="C308" t="s">
        <v>806</v>
      </c>
      <c r="D308" t="s">
        <v>282</v>
      </c>
      <c r="E308" t="s">
        <v>122</v>
      </c>
      <c r="F308" t="s">
        <v>807</v>
      </c>
      <c r="G308" t="str">
        <f>"00523496"</f>
        <v>00523496</v>
      </c>
      <c r="H308">
        <v>28.8</v>
      </c>
      <c r="I308">
        <v>10</v>
      </c>
      <c r="J308">
        <v>8</v>
      </c>
      <c r="L308">
        <v>4</v>
      </c>
      <c r="M308">
        <v>12</v>
      </c>
      <c r="N308">
        <v>4</v>
      </c>
      <c r="O308">
        <v>2</v>
      </c>
      <c r="P308">
        <v>56.8</v>
      </c>
      <c r="Q308">
        <v>60</v>
      </c>
      <c r="R308">
        <v>60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60</v>
      </c>
      <c r="Z308">
        <v>0</v>
      </c>
      <c r="AA308">
        <v>0</v>
      </c>
      <c r="AC308">
        <v>116.8</v>
      </c>
    </row>
    <row r="309" spans="1:29">
      <c r="A309">
        <v>302</v>
      </c>
      <c r="B309">
        <v>2894</v>
      </c>
      <c r="C309" t="s">
        <v>808</v>
      </c>
      <c r="D309" t="s">
        <v>185</v>
      </c>
      <c r="E309" t="s">
        <v>79</v>
      </c>
      <c r="F309" t="s">
        <v>809</v>
      </c>
      <c r="G309" t="str">
        <f>"00516302"</f>
        <v>00516302</v>
      </c>
      <c r="H309">
        <v>57.6</v>
      </c>
      <c r="I309">
        <v>0</v>
      </c>
      <c r="M309">
        <v>0</v>
      </c>
      <c r="N309">
        <v>4</v>
      </c>
      <c r="O309">
        <v>0</v>
      </c>
      <c r="P309">
        <v>61.6</v>
      </c>
      <c r="Q309">
        <v>55</v>
      </c>
      <c r="R309">
        <v>55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55</v>
      </c>
      <c r="Z309">
        <v>0</v>
      </c>
      <c r="AA309">
        <v>0</v>
      </c>
      <c r="AC309">
        <v>116.6</v>
      </c>
    </row>
    <row r="310" spans="1:29">
      <c r="A310">
        <v>303</v>
      </c>
      <c r="B310">
        <v>2871</v>
      </c>
      <c r="C310" t="s">
        <v>810</v>
      </c>
      <c r="D310" t="s">
        <v>811</v>
      </c>
      <c r="E310" t="s">
        <v>134</v>
      </c>
      <c r="F310" t="s">
        <v>812</v>
      </c>
      <c r="G310" t="str">
        <f>"00476071"</f>
        <v>00476071</v>
      </c>
      <c r="H310">
        <v>21.6</v>
      </c>
      <c r="I310">
        <v>10</v>
      </c>
      <c r="J310">
        <v>8</v>
      </c>
      <c r="M310">
        <v>8</v>
      </c>
      <c r="N310">
        <v>4</v>
      </c>
      <c r="O310">
        <v>2</v>
      </c>
      <c r="P310">
        <v>45.6</v>
      </c>
      <c r="Q310">
        <v>71</v>
      </c>
      <c r="R310">
        <v>71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71</v>
      </c>
      <c r="Z310">
        <v>0</v>
      </c>
      <c r="AA310">
        <v>0</v>
      </c>
      <c r="AC310">
        <v>116.6</v>
      </c>
    </row>
    <row r="311" spans="1:29">
      <c r="A311">
        <v>304</v>
      </c>
      <c r="B311">
        <v>1599</v>
      </c>
      <c r="C311" t="s">
        <v>813</v>
      </c>
      <c r="D311" t="s">
        <v>27</v>
      </c>
      <c r="E311" t="s">
        <v>814</v>
      </c>
      <c r="F311" t="s">
        <v>815</v>
      </c>
      <c r="G311" t="str">
        <f>"00511703"</f>
        <v>00511703</v>
      </c>
      <c r="H311">
        <v>35.56</v>
      </c>
      <c r="I311">
        <v>0</v>
      </c>
      <c r="M311">
        <v>0</v>
      </c>
      <c r="N311">
        <v>0</v>
      </c>
      <c r="O311">
        <v>0</v>
      </c>
      <c r="P311">
        <v>35.56</v>
      </c>
      <c r="Q311">
        <v>78</v>
      </c>
      <c r="R311">
        <v>78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78</v>
      </c>
      <c r="Z311">
        <v>3</v>
      </c>
      <c r="AA311">
        <v>0</v>
      </c>
      <c r="AC311">
        <v>116.56</v>
      </c>
    </row>
    <row r="312" spans="1:29">
      <c r="A312">
        <v>305</v>
      </c>
      <c r="B312">
        <v>3922</v>
      </c>
      <c r="C312" t="s">
        <v>816</v>
      </c>
      <c r="D312" t="s">
        <v>269</v>
      </c>
      <c r="E312" t="s">
        <v>817</v>
      </c>
      <c r="F312" t="s">
        <v>818</v>
      </c>
      <c r="G312" t="str">
        <f>"00506004"</f>
        <v>00506004</v>
      </c>
      <c r="H312">
        <v>50.4</v>
      </c>
      <c r="I312">
        <v>10</v>
      </c>
      <c r="M312">
        <v>0</v>
      </c>
      <c r="N312">
        <v>0</v>
      </c>
      <c r="O312">
        <v>0</v>
      </c>
      <c r="P312">
        <v>60.4</v>
      </c>
      <c r="Q312">
        <v>50</v>
      </c>
      <c r="R312">
        <v>50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50</v>
      </c>
      <c r="Z312">
        <v>6</v>
      </c>
      <c r="AA312">
        <v>0</v>
      </c>
      <c r="AC312">
        <v>116.4</v>
      </c>
    </row>
    <row r="313" spans="1:29">
      <c r="A313">
        <v>306</v>
      </c>
      <c r="B313">
        <v>3028</v>
      </c>
      <c r="C313" t="s">
        <v>819</v>
      </c>
      <c r="D313" t="s">
        <v>820</v>
      </c>
      <c r="E313" t="s">
        <v>156</v>
      </c>
      <c r="F313" t="s">
        <v>821</v>
      </c>
      <c r="G313" t="str">
        <f>"201406003273"</f>
        <v>201406003273</v>
      </c>
      <c r="H313">
        <v>43.2</v>
      </c>
      <c r="I313">
        <v>0</v>
      </c>
      <c r="L313">
        <v>8</v>
      </c>
      <c r="M313">
        <v>8</v>
      </c>
      <c r="N313">
        <v>4</v>
      </c>
      <c r="O313">
        <v>2</v>
      </c>
      <c r="P313">
        <v>57.2</v>
      </c>
      <c r="Q313">
        <v>53</v>
      </c>
      <c r="R313">
        <v>53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53</v>
      </c>
      <c r="Z313">
        <v>6</v>
      </c>
      <c r="AA313">
        <v>0</v>
      </c>
      <c r="AC313">
        <v>116.2</v>
      </c>
    </row>
    <row r="314" spans="1:29">
      <c r="A314">
        <v>307</v>
      </c>
      <c r="B314">
        <v>2656</v>
      </c>
      <c r="C314" t="s">
        <v>822</v>
      </c>
      <c r="D314" t="s">
        <v>164</v>
      </c>
      <c r="E314" t="s">
        <v>18</v>
      </c>
      <c r="F314" t="s">
        <v>823</v>
      </c>
      <c r="G314" t="str">
        <f>"00496638"</f>
        <v>00496638</v>
      </c>
      <c r="H314">
        <v>43.2</v>
      </c>
      <c r="I314">
        <v>0</v>
      </c>
      <c r="J314">
        <v>8</v>
      </c>
      <c r="M314">
        <v>8</v>
      </c>
      <c r="N314">
        <v>4</v>
      </c>
      <c r="O314">
        <v>2</v>
      </c>
      <c r="P314">
        <v>57.2</v>
      </c>
      <c r="Q314">
        <v>59</v>
      </c>
      <c r="R314">
        <v>59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59</v>
      </c>
      <c r="Z314">
        <v>0</v>
      </c>
      <c r="AA314">
        <v>0</v>
      </c>
      <c r="AC314">
        <v>116.2</v>
      </c>
    </row>
    <row r="315" spans="1:29">
      <c r="A315">
        <v>308</v>
      </c>
      <c r="B315">
        <v>3616</v>
      </c>
      <c r="C315" t="s">
        <v>824</v>
      </c>
      <c r="D315" t="s">
        <v>544</v>
      </c>
      <c r="E315" t="s">
        <v>15</v>
      </c>
      <c r="F315" t="s">
        <v>825</v>
      </c>
      <c r="G315" t="str">
        <f>"00507137"</f>
        <v>00507137</v>
      </c>
      <c r="H315">
        <v>43.2</v>
      </c>
      <c r="I315">
        <v>0</v>
      </c>
      <c r="J315">
        <v>8</v>
      </c>
      <c r="M315">
        <v>8</v>
      </c>
      <c r="N315">
        <v>4</v>
      </c>
      <c r="O315">
        <v>0</v>
      </c>
      <c r="P315">
        <v>55.2</v>
      </c>
      <c r="Q315">
        <v>61</v>
      </c>
      <c r="R315">
        <v>61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61</v>
      </c>
      <c r="Z315">
        <v>0</v>
      </c>
      <c r="AA315">
        <v>0</v>
      </c>
      <c r="AC315">
        <v>116.2</v>
      </c>
    </row>
    <row r="316" spans="1:29">
      <c r="A316">
        <v>309</v>
      </c>
      <c r="B316">
        <v>3979</v>
      </c>
      <c r="C316" t="s">
        <v>826</v>
      </c>
      <c r="D316" t="s">
        <v>216</v>
      </c>
      <c r="E316" t="s">
        <v>827</v>
      </c>
      <c r="F316" t="s">
        <v>828</v>
      </c>
      <c r="G316" t="str">
        <f>"200901000147"</f>
        <v>200901000147</v>
      </c>
      <c r="H316">
        <v>43.2</v>
      </c>
      <c r="I316">
        <v>0</v>
      </c>
      <c r="J316">
        <v>8</v>
      </c>
      <c r="L316">
        <v>4</v>
      </c>
      <c r="M316">
        <v>12</v>
      </c>
      <c r="N316">
        <v>4</v>
      </c>
      <c r="O316">
        <v>0</v>
      </c>
      <c r="P316">
        <v>59.2</v>
      </c>
      <c r="Q316">
        <v>27</v>
      </c>
      <c r="R316">
        <v>27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27</v>
      </c>
      <c r="Z316">
        <v>3</v>
      </c>
      <c r="AA316">
        <v>26.8</v>
      </c>
      <c r="AC316">
        <v>116</v>
      </c>
    </row>
    <row r="317" spans="1:29">
      <c r="A317">
        <v>310</v>
      </c>
      <c r="B317">
        <v>2710</v>
      </c>
      <c r="C317" t="s">
        <v>829</v>
      </c>
      <c r="D317" t="s">
        <v>137</v>
      </c>
      <c r="E317" t="s">
        <v>134</v>
      </c>
      <c r="F317" t="s">
        <v>830</v>
      </c>
      <c r="G317" t="str">
        <f>"00162223"</f>
        <v>00162223</v>
      </c>
      <c r="H317">
        <v>38</v>
      </c>
      <c r="I317">
        <v>0</v>
      </c>
      <c r="M317">
        <v>0</v>
      </c>
      <c r="N317">
        <v>4</v>
      </c>
      <c r="O317">
        <v>0</v>
      </c>
      <c r="P317">
        <v>42</v>
      </c>
      <c r="Q317">
        <v>62</v>
      </c>
      <c r="R317">
        <v>62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62</v>
      </c>
      <c r="Z317">
        <v>12</v>
      </c>
      <c r="AA317">
        <v>0</v>
      </c>
      <c r="AC317">
        <v>116</v>
      </c>
    </row>
    <row r="318" spans="1:29">
      <c r="A318">
        <v>311</v>
      </c>
      <c r="B318">
        <v>1965</v>
      </c>
      <c r="C318" t="s">
        <v>831</v>
      </c>
      <c r="D318" t="s">
        <v>832</v>
      </c>
      <c r="E318" t="s">
        <v>79</v>
      </c>
      <c r="F318" t="s">
        <v>833</v>
      </c>
      <c r="G318" t="str">
        <f>"00514971"</f>
        <v>00514971</v>
      </c>
      <c r="H318">
        <v>36</v>
      </c>
      <c r="I318">
        <v>0</v>
      </c>
      <c r="J318">
        <v>8</v>
      </c>
      <c r="M318">
        <v>8</v>
      </c>
      <c r="N318">
        <v>4</v>
      </c>
      <c r="O318">
        <v>0</v>
      </c>
      <c r="P318">
        <v>48</v>
      </c>
      <c r="Q318">
        <v>68</v>
      </c>
      <c r="R318">
        <v>68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68</v>
      </c>
      <c r="Z318">
        <v>0</v>
      </c>
      <c r="AA318">
        <v>0</v>
      </c>
      <c r="AC318">
        <v>116</v>
      </c>
    </row>
    <row r="319" spans="1:29">
      <c r="A319">
        <v>312</v>
      </c>
      <c r="B319">
        <v>2415</v>
      </c>
      <c r="C319" t="s">
        <v>834</v>
      </c>
      <c r="D319" t="s">
        <v>95</v>
      </c>
      <c r="E319" t="s">
        <v>835</v>
      </c>
      <c r="F319" t="s">
        <v>836</v>
      </c>
      <c r="G319" t="str">
        <f>"00489200"</f>
        <v>00489200</v>
      </c>
      <c r="H319">
        <v>0</v>
      </c>
      <c r="I319">
        <v>0</v>
      </c>
      <c r="L319">
        <v>4</v>
      </c>
      <c r="M319">
        <v>4</v>
      </c>
      <c r="N319">
        <v>4</v>
      </c>
      <c r="O319">
        <v>0</v>
      </c>
      <c r="P319">
        <v>8</v>
      </c>
      <c r="Q319">
        <v>108</v>
      </c>
      <c r="R319">
        <v>108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108</v>
      </c>
      <c r="Z319">
        <v>0</v>
      </c>
      <c r="AA319">
        <v>0</v>
      </c>
      <c r="AC319">
        <v>116</v>
      </c>
    </row>
    <row r="320" spans="1:29">
      <c r="A320">
        <v>313</v>
      </c>
      <c r="B320">
        <v>3115</v>
      </c>
      <c r="C320" t="s">
        <v>163</v>
      </c>
      <c r="D320" t="s">
        <v>35</v>
      </c>
      <c r="E320" t="s">
        <v>134</v>
      </c>
      <c r="F320" t="s">
        <v>837</v>
      </c>
      <c r="G320" t="str">
        <f>"00530278"</f>
        <v>00530278</v>
      </c>
      <c r="H320">
        <v>64.8</v>
      </c>
      <c r="I320">
        <v>10</v>
      </c>
      <c r="J320">
        <v>8</v>
      </c>
      <c r="M320">
        <v>8</v>
      </c>
      <c r="N320">
        <v>4</v>
      </c>
      <c r="O320">
        <v>2</v>
      </c>
      <c r="P320">
        <v>88.8</v>
      </c>
      <c r="Q320">
        <v>18</v>
      </c>
      <c r="R320">
        <v>18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18</v>
      </c>
      <c r="Z320">
        <v>9</v>
      </c>
      <c r="AA320">
        <v>0</v>
      </c>
      <c r="AC320">
        <v>115.8</v>
      </c>
    </row>
    <row r="321" spans="1:29">
      <c r="A321">
        <v>314</v>
      </c>
      <c r="B321">
        <v>3281</v>
      </c>
      <c r="C321" t="s">
        <v>178</v>
      </c>
      <c r="D321" t="s">
        <v>840</v>
      </c>
      <c r="E321" t="s">
        <v>36</v>
      </c>
      <c r="F321" t="s">
        <v>841</v>
      </c>
      <c r="G321" t="str">
        <f>"00194144"</f>
        <v>00194144</v>
      </c>
      <c r="H321">
        <v>64.8</v>
      </c>
      <c r="I321">
        <v>0</v>
      </c>
      <c r="J321">
        <v>8</v>
      </c>
      <c r="M321">
        <v>8</v>
      </c>
      <c r="N321">
        <v>4</v>
      </c>
      <c r="O321">
        <v>2</v>
      </c>
      <c r="P321">
        <v>78.8</v>
      </c>
      <c r="Q321">
        <v>37</v>
      </c>
      <c r="R321">
        <v>37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37</v>
      </c>
      <c r="Z321">
        <v>0</v>
      </c>
      <c r="AA321">
        <v>0</v>
      </c>
      <c r="AC321">
        <v>115.8</v>
      </c>
    </row>
    <row r="322" spans="1:29">
      <c r="A322">
        <v>315</v>
      </c>
      <c r="B322">
        <v>1479</v>
      </c>
      <c r="C322" t="s">
        <v>838</v>
      </c>
      <c r="D322" t="s">
        <v>39</v>
      </c>
      <c r="E322" t="s">
        <v>18</v>
      </c>
      <c r="F322" t="s">
        <v>839</v>
      </c>
      <c r="G322" t="str">
        <f>"00075537"</f>
        <v>00075537</v>
      </c>
      <c r="H322">
        <v>64.8</v>
      </c>
      <c r="I322">
        <v>0</v>
      </c>
      <c r="J322">
        <v>8</v>
      </c>
      <c r="M322">
        <v>8</v>
      </c>
      <c r="N322">
        <v>4</v>
      </c>
      <c r="O322">
        <v>2</v>
      </c>
      <c r="P322">
        <v>78.8</v>
      </c>
      <c r="Q322">
        <v>37</v>
      </c>
      <c r="R322">
        <v>37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37</v>
      </c>
      <c r="Z322">
        <v>0</v>
      </c>
      <c r="AA322">
        <v>0</v>
      </c>
      <c r="AC322">
        <v>115.8</v>
      </c>
    </row>
    <row r="323" spans="1:29">
      <c r="A323">
        <v>316</v>
      </c>
      <c r="B323">
        <v>3864</v>
      </c>
      <c r="C323" t="s">
        <v>842</v>
      </c>
      <c r="D323" t="s">
        <v>248</v>
      </c>
      <c r="E323" t="s">
        <v>92</v>
      </c>
      <c r="F323" t="s">
        <v>843</v>
      </c>
      <c r="G323" t="str">
        <f>"00497298"</f>
        <v>00497298</v>
      </c>
      <c r="H323">
        <v>34.68</v>
      </c>
      <c r="I323">
        <v>0</v>
      </c>
      <c r="J323">
        <v>8</v>
      </c>
      <c r="M323">
        <v>8</v>
      </c>
      <c r="N323">
        <v>4</v>
      </c>
      <c r="O323">
        <v>2</v>
      </c>
      <c r="P323">
        <v>48.68</v>
      </c>
      <c r="Q323">
        <v>59</v>
      </c>
      <c r="R323">
        <v>59</v>
      </c>
      <c r="S323">
        <v>1</v>
      </c>
      <c r="T323">
        <v>2</v>
      </c>
      <c r="U323">
        <v>0</v>
      </c>
      <c r="V323">
        <v>0</v>
      </c>
      <c r="W323">
        <v>0</v>
      </c>
      <c r="X323">
        <v>0</v>
      </c>
      <c r="Y323">
        <v>61</v>
      </c>
      <c r="Z323">
        <v>6</v>
      </c>
      <c r="AA323">
        <v>0</v>
      </c>
      <c r="AC323">
        <v>115.68</v>
      </c>
    </row>
    <row r="324" spans="1:29">
      <c r="A324">
        <v>317</v>
      </c>
      <c r="B324">
        <v>778</v>
      </c>
      <c r="C324" t="s">
        <v>844</v>
      </c>
      <c r="D324" t="s">
        <v>98</v>
      </c>
      <c r="E324" t="s">
        <v>15</v>
      </c>
      <c r="F324" t="s">
        <v>845</v>
      </c>
      <c r="G324" t="str">
        <f>"00503736"</f>
        <v>00503736</v>
      </c>
      <c r="H324">
        <v>38.4</v>
      </c>
      <c r="I324">
        <v>10</v>
      </c>
      <c r="J324">
        <v>8</v>
      </c>
      <c r="M324">
        <v>8</v>
      </c>
      <c r="N324">
        <v>4</v>
      </c>
      <c r="O324">
        <v>2</v>
      </c>
      <c r="P324">
        <v>62.4</v>
      </c>
      <c r="Q324">
        <v>50</v>
      </c>
      <c r="R324">
        <v>50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50</v>
      </c>
      <c r="Z324">
        <v>3</v>
      </c>
      <c r="AA324">
        <v>0</v>
      </c>
      <c r="AC324">
        <v>115.4</v>
      </c>
    </row>
    <row r="325" spans="1:29">
      <c r="A325">
        <v>318</v>
      </c>
      <c r="B325">
        <v>969</v>
      </c>
      <c r="C325" t="s">
        <v>846</v>
      </c>
      <c r="D325" t="s">
        <v>39</v>
      </c>
      <c r="E325" t="s">
        <v>50</v>
      </c>
      <c r="F325" t="s">
        <v>847</v>
      </c>
      <c r="G325" t="str">
        <f>"201406018756"</f>
        <v>201406018756</v>
      </c>
      <c r="H325">
        <v>50.4</v>
      </c>
      <c r="I325">
        <v>10</v>
      </c>
      <c r="J325">
        <v>8</v>
      </c>
      <c r="M325">
        <v>8</v>
      </c>
      <c r="N325">
        <v>4</v>
      </c>
      <c r="O325">
        <v>2</v>
      </c>
      <c r="P325">
        <v>74.400000000000006</v>
      </c>
      <c r="Q325">
        <v>41</v>
      </c>
      <c r="R325">
        <v>41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41</v>
      </c>
      <c r="Z325">
        <v>0</v>
      </c>
      <c r="AA325">
        <v>0</v>
      </c>
      <c r="AC325">
        <v>115.4</v>
      </c>
    </row>
    <row r="326" spans="1:29">
      <c r="A326">
        <v>319</v>
      </c>
      <c r="B326">
        <v>2638</v>
      </c>
      <c r="C326" t="s">
        <v>848</v>
      </c>
      <c r="D326" t="s">
        <v>20</v>
      </c>
      <c r="E326" t="s">
        <v>533</v>
      </c>
      <c r="F326" t="s">
        <v>849</v>
      </c>
      <c r="G326" t="str">
        <f>"00504864"</f>
        <v>00504864</v>
      </c>
      <c r="H326">
        <v>50.4</v>
      </c>
      <c r="I326">
        <v>0</v>
      </c>
      <c r="L326">
        <v>4</v>
      </c>
      <c r="M326">
        <v>4</v>
      </c>
      <c r="N326">
        <v>4</v>
      </c>
      <c r="O326">
        <v>2</v>
      </c>
      <c r="P326">
        <v>60.4</v>
      </c>
      <c r="Q326">
        <v>55</v>
      </c>
      <c r="R326">
        <v>55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55</v>
      </c>
      <c r="Z326">
        <v>0</v>
      </c>
      <c r="AA326">
        <v>0</v>
      </c>
      <c r="AC326">
        <v>115.4</v>
      </c>
    </row>
    <row r="327" spans="1:29">
      <c r="A327">
        <v>320</v>
      </c>
      <c r="B327">
        <v>1517</v>
      </c>
      <c r="C327" t="s">
        <v>850</v>
      </c>
      <c r="D327" t="s">
        <v>811</v>
      </c>
      <c r="E327" t="s">
        <v>15</v>
      </c>
      <c r="F327" t="s">
        <v>851</v>
      </c>
      <c r="G327" t="str">
        <f>"00501260"</f>
        <v>00501260</v>
      </c>
      <c r="H327">
        <v>39.119999999999997</v>
      </c>
      <c r="I327">
        <v>10</v>
      </c>
      <c r="M327">
        <v>0</v>
      </c>
      <c r="N327">
        <v>4</v>
      </c>
      <c r="O327">
        <v>0</v>
      </c>
      <c r="P327">
        <v>53.12</v>
      </c>
      <c r="Q327">
        <v>56</v>
      </c>
      <c r="R327">
        <v>56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56</v>
      </c>
      <c r="Z327">
        <v>6</v>
      </c>
      <c r="AA327">
        <v>0</v>
      </c>
      <c r="AC327">
        <v>115.12</v>
      </c>
    </row>
    <row r="328" spans="1:29">
      <c r="A328">
        <v>321</v>
      </c>
      <c r="B328">
        <v>953</v>
      </c>
      <c r="C328" t="s">
        <v>852</v>
      </c>
      <c r="D328" t="s">
        <v>853</v>
      </c>
      <c r="E328" t="s">
        <v>12</v>
      </c>
      <c r="F328" t="s">
        <v>854</v>
      </c>
      <c r="G328" t="str">
        <f>"00519837"</f>
        <v>00519837</v>
      </c>
      <c r="H328">
        <v>24.28</v>
      </c>
      <c r="I328">
        <v>0</v>
      </c>
      <c r="M328">
        <v>0</v>
      </c>
      <c r="N328">
        <v>0</v>
      </c>
      <c r="O328">
        <v>0</v>
      </c>
      <c r="P328">
        <v>24.28</v>
      </c>
      <c r="Q328">
        <v>55</v>
      </c>
      <c r="R328">
        <v>55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55</v>
      </c>
      <c r="Z328">
        <v>9</v>
      </c>
      <c r="AA328">
        <v>26.8</v>
      </c>
      <c r="AC328">
        <v>115.08</v>
      </c>
    </row>
    <row r="329" spans="1:29">
      <c r="A329">
        <v>322</v>
      </c>
      <c r="B329">
        <v>2488</v>
      </c>
      <c r="C329" t="s">
        <v>855</v>
      </c>
      <c r="D329" t="s">
        <v>856</v>
      </c>
      <c r="E329" t="s">
        <v>36</v>
      </c>
      <c r="F329" t="s">
        <v>857</v>
      </c>
      <c r="G329" t="str">
        <f>"00441615"</f>
        <v>00441615</v>
      </c>
      <c r="H329">
        <v>43.2</v>
      </c>
      <c r="I329">
        <v>10</v>
      </c>
      <c r="M329">
        <v>0</v>
      </c>
      <c r="N329">
        <v>4</v>
      </c>
      <c r="O329">
        <v>0</v>
      </c>
      <c r="P329">
        <v>57.2</v>
      </c>
      <c r="Q329">
        <v>28</v>
      </c>
      <c r="R329">
        <v>28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28</v>
      </c>
      <c r="Z329">
        <v>3</v>
      </c>
      <c r="AA329">
        <v>26.8</v>
      </c>
      <c r="AC329">
        <v>115</v>
      </c>
    </row>
    <row r="330" spans="1:29">
      <c r="A330">
        <v>323</v>
      </c>
      <c r="B330">
        <v>4572</v>
      </c>
      <c r="C330" t="s">
        <v>858</v>
      </c>
      <c r="D330" t="s">
        <v>27</v>
      </c>
      <c r="E330" t="s">
        <v>859</v>
      </c>
      <c r="F330" t="s">
        <v>860</v>
      </c>
      <c r="G330" t="str">
        <f>"00512934"</f>
        <v>00512934</v>
      </c>
      <c r="H330">
        <v>36</v>
      </c>
      <c r="I330">
        <v>0</v>
      </c>
      <c r="L330">
        <v>4</v>
      </c>
      <c r="M330">
        <v>4</v>
      </c>
      <c r="N330">
        <v>4</v>
      </c>
      <c r="O330">
        <v>0</v>
      </c>
      <c r="P330">
        <v>44</v>
      </c>
      <c r="Q330">
        <v>62</v>
      </c>
      <c r="R330">
        <v>62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62</v>
      </c>
      <c r="Z330">
        <v>9</v>
      </c>
      <c r="AA330">
        <v>0</v>
      </c>
      <c r="AC330">
        <v>115</v>
      </c>
    </row>
    <row r="331" spans="1:29">
      <c r="A331">
        <v>324</v>
      </c>
      <c r="B331">
        <v>3178</v>
      </c>
      <c r="C331" t="s">
        <v>861</v>
      </c>
      <c r="D331" t="s">
        <v>108</v>
      </c>
      <c r="E331" t="s">
        <v>115</v>
      </c>
      <c r="F331" t="s">
        <v>862</v>
      </c>
      <c r="G331" t="str">
        <f>"00503023"</f>
        <v>00503023</v>
      </c>
      <c r="H331">
        <v>29</v>
      </c>
      <c r="I331">
        <v>10</v>
      </c>
      <c r="L331">
        <v>4</v>
      </c>
      <c r="M331">
        <v>4</v>
      </c>
      <c r="N331">
        <v>4</v>
      </c>
      <c r="O331">
        <v>2</v>
      </c>
      <c r="P331">
        <v>49</v>
      </c>
      <c r="Q331">
        <v>60</v>
      </c>
      <c r="R331">
        <v>60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60</v>
      </c>
      <c r="Z331">
        <v>6</v>
      </c>
      <c r="AA331">
        <v>0</v>
      </c>
      <c r="AC331">
        <v>115</v>
      </c>
    </row>
    <row r="332" spans="1:29">
      <c r="A332">
        <v>325</v>
      </c>
      <c r="B332">
        <v>2427</v>
      </c>
      <c r="C332" t="s">
        <v>863</v>
      </c>
      <c r="D332" t="s">
        <v>864</v>
      </c>
      <c r="E332" t="s">
        <v>36</v>
      </c>
      <c r="F332" t="s">
        <v>865</v>
      </c>
      <c r="G332" t="str">
        <f>"00506875"</f>
        <v>00506875</v>
      </c>
      <c r="H332">
        <v>72</v>
      </c>
      <c r="I332">
        <v>0</v>
      </c>
      <c r="M332">
        <v>0</v>
      </c>
      <c r="N332">
        <v>4</v>
      </c>
      <c r="O332">
        <v>2</v>
      </c>
      <c r="P332">
        <v>78</v>
      </c>
      <c r="Q332">
        <v>37</v>
      </c>
      <c r="R332">
        <v>37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37</v>
      </c>
      <c r="Z332">
        <v>0</v>
      </c>
      <c r="AA332">
        <v>0</v>
      </c>
      <c r="AC332">
        <v>115</v>
      </c>
    </row>
    <row r="333" spans="1:29">
      <c r="A333">
        <v>326</v>
      </c>
      <c r="B333">
        <v>2745</v>
      </c>
      <c r="C333" t="s">
        <v>866</v>
      </c>
      <c r="D333" t="s">
        <v>59</v>
      </c>
      <c r="E333" t="s">
        <v>15</v>
      </c>
      <c r="F333" t="s">
        <v>867</v>
      </c>
      <c r="G333" t="str">
        <f>"00524941"</f>
        <v>00524941</v>
      </c>
      <c r="H333">
        <v>36</v>
      </c>
      <c r="I333">
        <v>10</v>
      </c>
      <c r="M333">
        <v>0</v>
      </c>
      <c r="N333">
        <v>4</v>
      </c>
      <c r="O333">
        <v>2</v>
      </c>
      <c r="P333">
        <v>52</v>
      </c>
      <c r="Q333">
        <v>63</v>
      </c>
      <c r="R333">
        <v>63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63</v>
      </c>
      <c r="Z333">
        <v>0</v>
      </c>
      <c r="AA333">
        <v>0</v>
      </c>
      <c r="AC333">
        <v>115</v>
      </c>
    </row>
    <row r="334" spans="1:29">
      <c r="A334">
        <v>327</v>
      </c>
      <c r="B334">
        <v>3237</v>
      </c>
      <c r="C334" t="s">
        <v>868</v>
      </c>
      <c r="D334" t="s">
        <v>27</v>
      </c>
      <c r="E334" t="s">
        <v>156</v>
      </c>
      <c r="F334" t="s">
        <v>869</v>
      </c>
      <c r="G334" t="str">
        <f>"00518102"</f>
        <v>00518102</v>
      </c>
      <c r="H334">
        <v>36</v>
      </c>
      <c r="I334">
        <v>0</v>
      </c>
      <c r="L334">
        <v>4</v>
      </c>
      <c r="M334">
        <v>4</v>
      </c>
      <c r="N334">
        <v>4</v>
      </c>
      <c r="O334">
        <v>2</v>
      </c>
      <c r="P334">
        <v>46</v>
      </c>
      <c r="Q334">
        <v>69</v>
      </c>
      <c r="R334">
        <v>69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69</v>
      </c>
      <c r="Z334">
        <v>0</v>
      </c>
      <c r="AA334">
        <v>0</v>
      </c>
      <c r="AC334">
        <v>115</v>
      </c>
    </row>
    <row r="335" spans="1:29">
      <c r="A335">
        <v>328</v>
      </c>
      <c r="B335">
        <v>3953</v>
      </c>
      <c r="C335" t="s">
        <v>226</v>
      </c>
      <c r="D335" t="s">
        <v>870</v>
      </c>
      <c r="E335" t="s">
        <v>227</v>
      </c>
      <c r="F335" t="s">
        <v>871</v>
      </c>
      <c r="G335" t="str">
        <f>"00146856"</f>
        <v>00146856</v>
      </c>
      <c r="H335">
        <v>0</v>
      </c>
      <c r="I335">
        <v>0</v>
      </c>
      <c r="L335">
        <v>4</v>
      </c>
      <c r="M335">
        <v>4</v>
      </c>
      <c r="N335">
        <v>4</v>
      </c>
      <c r="O335">
        <v>2</v>
      </c>
      <c r="P335">
        <v>10</v>
      </c>
      <c r="Q335">
        <v>105</v>
      </c>
      <c r="R335">
        <v>105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105</v>
      </c>
      <c r="Z335">
        <v>0</v>
      </c>
      <c r="AA335">
        <v>0</v>
      </c>
      <c r="AC335">
        <v>115</v>
      </c>
    </row>
    <row r="336" spans="1:29">
      <c r="A336">
        <v>329</v>
      </c>
      <c r="B336">
        <v>3164</v>
      </c>
      <c r="C336" t="s">
        <v>872</v>
      </c>
      <c r="D336" t="s">
        <v>167</v>
      </c>
      <c r="E336" t="s">
        <v>873</v>
      </c>
      <c r="F336" t="s">
        <v>874</v>
      </c>
      <c r="G336" t="str">
        <f>"00530291"</f>
        <v>00530291</v>
      </c>
      <c r="H336">
        <v>34.840000000000003</v>
      </c>
      <c r="I336">
        <v>0</v>
      </c>
      <c r="M336">
        <v>0</v>
      </c>
      <c r="N336">
        <v>0</v>
      </c>
      <c r="O336">
        <v>0</v>
      </c>
      <c r="P336">
        <v>34.840000000000003</v>
      </c>
      <c r="Q336">
        <v>77</v>
      </c>
      <c r="R336">
        <v>77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77</v>
      </c>
      <c r="Z336">
        <v>3</v>
      </c>
      <c r="AA336">
        <v>0</v>
      </c>
      <c r="AC336">
        <v>114.84</v>
      </c>
    </row>
    <row r="337" spans="1:29">
      <c r="A337">
        <v>330</v>
      </c>
      <c r="B337">
        <v>378</v>
      </c>
      <c r="C337" t="s">
        <v>875</v>
      </c>
      <c r="D337" t="s">
        <v>164</v>
      </c>
      <c r="E337" t="s">
        <v>873</v>
      </c>
      <c r="F337" t="s">
        <v>876</v>
      </c>
      <c r="G337" t="str">
        <f>"00502865"</f>
        <v>00502865</v>
      </c>
      <c r="H337">
        <v>28.8</v>
      </c>
      <c r="I337">
        <v>10</v>
      </c>
      <c r="L337">
        <v>4</v>
      </c>
      <c r="M337">
        <v>4</v>
      </c>
      <c r="N337">
        <v>4</v>
      </c>
      <c r="O337">
        <v>2</v>
      </c>
      <c r="P337">
        <v>48.8</v>
      </c>
      <c r="Q337">
        <v>60</v>
      </c>
      <c r="R337">
        <v>60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60</v>
      </c>
      <c r="Z337">
        <v>6</v>
      </c>
      <c r="AA337">
        <v>0</v>
      </c>
      <c r="AC337">
        <v>114.8</v>
      </c>
    </row>
    <row r="338" spans="1:29">
      <c r="A338">
        <v>331</v>
      </c>
      <c r="B338">
        <v>2224</v>
      </c>
      <c r="C338" t="s">
        <v>877</v>
      </c>
      <c r="D338" t="s">
        <v>878</v>
      </c>
      <c r="E338" t="s">
        <v>122</v>
      </c>
      <c r="F338" t="s">
        <v>879</v>
      </c>
      <c r="G338" t="str">
        <f>"00163278"</f>
        <v>00163278</v>
      </c>
      <c r="H338">
        <v>38.76</v>
      </c>
      <c r="I338">
        <v>0</v>
      </c>
      <c r="M338">
        <v>0</v>
      </c>
      <c r="N338">
        <v>4</v>
      </c>
      <c r="O338">
        <v>2</v>
      </c>
      <c r="P338">
        <v>44.76</v>
      </c>
      <c r="Q338">
        <v>70</v>
      </c>
      <c r="R338">
        <v>70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70</v>
      </c>
      <c r="Z338">
        <v>0</v>
      </c>
      <c r="AA338">
        <v>0</v>
      </c>
      <c r="AC338">
        <v>114.76</v>
      </c>
    </row>
    <row r="339" spans="1:29">
      <c r="A339">
        <v>332</v>
      </c>
      <c r="B339">
        <v>2181</v>
      </c>
      <c r="C339" t="s">
        <v>880</v>
      </c>
      <c r="D339" t="s">
        <v>261</v>
      </c>
      <c r="E339" t="s">
        <v>134</v>
      </c>
      <c r="F339" t="s">
        <v>881</v>
      </c>
      <c r="G339" t="str">
        <f>"00442077"</f>
        <v>00442077</v>
      </c>
      <c r="H339">
        <v>28.52</v>
      </c>
      <c r="I339">
        <v>0</v>
      </c>
      <c r="M339">
        <v>0</v>
      </c>
      <c r="N339">
        <v>4</v>
      </c>
      <c r="O339">
        <v>2</v>
      </c>
      <c r="P339">
        <v>34.520000000000003</v>
      </c>
      <c r="Q339">
        <v>74</v>
      </c>
      <c r="R339">
        <v>74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74</v>
      </c>
      <c r="Z339">
        <v>6</v>
      </c>
      <c r="AA339">
        <v>0</v>
      </c>
      <c r="AC339">
        <v>114.52</v>
      </c>
    </row>
    <row r="340" spans="1:29">
      <c r="A340">
        <v>333</v>
      </c>
      <c r="B340">
        <v>3959</v>
      </c>
      <c r="C340" t="s">
        <v>882</v>
      </c>
      <c r="D340" t="s">
        <v>134</v>
      </c>
      <c r="E340" t="s">
        <v>165</v>
      </c>
      <c r="F340" t="s">
        <v>883</v>
      </c>
      <c r="G340" t="str">
        <f>"00524001"</f>
        <v>00524001</v>
      </c>
      <c r="H340">
        <v>50.4</v>
      </c>
      <c r="I340">
        <v>0</v>
      </c>
      <c r="K340">
        <v>6</v>
      </c>
      <c r="M340">
        <v>6</v>
      </c>
      <c r="N340">
        <v>4</v>
      </c>
      <c r="O340">
        <v>2</v>
      </c>
      <c r="P340">
        <v>62.4</v>
      </c>
      <c r="Q340">
        <v>46</v>
      </c>
      <c r="R340">
        <v>46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46</v>
      </c>
      <c r="Z340">
        <v>6</v>
      </c>
      <c r="AA340">
        <v>0</v>
      </c>
      <c r="AC340">
        <v>114.4</v>
      </c>
    </row>
    <row r="341" spans="1:29">
      <c r="A341">
        <v>334</v>
      </c>
      <c r="B341">
        <v>3475</v>
      </c>
      <c r="C341" t="s">
        <v>884</v>
      </c>
      <c r="D341" t="s">
        <v>39</v>
      </c>
      <c r="E341" t="s">
        <v>796</v>
      </c>
      <c r="F341" t="s">
        <v>885</v>
      </c>
      <c r="G341" t="str">
        <f>"00533141"</f>
        <v>00533141</v>
      </c>
      <c r="H341">
        <v>50.4</v>
      </c>
      <c r="I341">
        <v>0</v>
      </c>
      <c r="L341">
        <v>4</v>
      </c>
      <c r="M341">
        <v>4</v>
      </c>
      <c r="N341">
        <v>4</v>
      </c>
      <c r="O341">
        <v>2</v>
      </c>
      <c r="P341">
        <v>60.4</v>
      </c>
      <c r="Q341">
        <v>54</v>
      </c>
      <c r="R341">
        <v>54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54</v>
      </c>
      <c r="Z341">
        <v>0</v>
      </c>
      <c r="AA341">
        <v>0</v>
      </c>
      <c r="AC341">
        <v>114.4</v>
      </c>
    </row>
    <row r="342" spans="1:29">
      <c r="A342">
        <v>335</v>
      </c>
      <c r="B342">
        <v>1076</v>
      </c>
      <c r="C342" t="s">
        <v>888</v>
      </c>
      <c r="D342" t="s">
        <v>269</v>
      </c>
      <c r="E342" t="s">
        <v>889</v>
      </c>
      <c r="F342" t="s">
        <v>890</v>
      </c>
      <c r="G342" t="str">
        <f>"00533162"</f>
        <v>00533162</v>
      </c>
      <c r="H342">
        <v>50.4</v>
      </c>
      <c r="I342">
        <v>0</v>
      </c>
      <c r="L342">
        <v>4</v>
      </c>
      <c r="M342">
        <v>4</v>
      </c>
      <c r="N342">
        <v>4</v>
      </c>
      <c r="O342">
        <v>2</v>
      </c>
      <c r="P342">
        <v>60.4</v>
      </c>
      <c r="Q342">
        <v>54</v>
      </c>
      <c r="R342">
        <v>54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54</v>
      </c>
      <c r="Z342">
        <v>0</v>
      </c>
      <c r="AA342">
        <v>0</v>
      </c>
      <c r="AC342">
        <v>114.4</v>
      </c>
    </row>
    <row r="343" spans="1:29">
      <c r="A343">
        <v>336</v>
      </c>
      <c r="B343">
        <v>3157</v>
      </c>
      <c r="C343" t="s">
        <v>840</v>
      </c>
      <c r="D343" t="s">
        <v>886</v>
      </c>
      <c r="E343" t="s">
        <v>36</v>
      </c>
      <c r="F343" t="s">
        <v>887</v>
      </c>
      <c r="G343" t="str">
        <f>"00523433"</f>
        <v>00523433</v>
      </c>
      <c r="H343">
        <v>50.4</v>
      </c>
      <c r="I343">
        <v>0</v>
      </c>
      <c r="L343">
        <v>4</v>
      </c>
      <c r="M343">
        <v>4</v>
      </c>
      <c r="N343">
        <v>4</v>
      </c>
      <c r="O343">
        <v>2</v>
      </c>
      <c r="P343">
        <v>60.4</v>
      </c>
      <c r="Q343">
        <v>54</v>
      </c>
      <c r="R343">
        <v>54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54</v>
      </c>
      <c r="Z343">
        <v>0</v>
      </c>
      <c r="AA343">
        <v>0</v>
      </c>
      <c r="AC343">
        <v>114.4</v>
      </c>
    </row>
    <row r="344" spans="1:29">
      <c r="A344">
        <v>337</v>
      </c>
      <c r="B344">
        <v>1172</v>
      </c>
      <c r="C344" t="s">
        <v>523</v>
      </c>
      <c r="D344" t="s">
        <v>891</v>
      </c>
      <c r="E344" t="s">
        <v>32</v>
      </c>
      <c r="F344" t="s">
        <v>892</v>
      </c>
      <c r="G344" t="str">
        <f>"00061653"</f>
        <v>00061653</v>
      </c>
      <c r="H344">
        <v>36.36</v>
      </c>
      <c r="I344">
        <v>0</v>
      </c>
      <c r="M344">
        <v>0</v>
      </c>
      <c r="N344">
        <v>4</v>
      </c>
      <c r="O344">
        <v>2</v>
      </c>
      <c r="P344">
        <v>42.36</v>
      </c>
      <c r="Q344">
        <v>72</v>
      </c>
      <c r="R344">
        <v>72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72</v>
      </c>
      <c r="Z344">
        <v>0</v>
      </c>
      <c r="AA344">
        <v>0</v>
      </c>
      <c r="AC344">
        <v>114.36</v>
      </c>
    </row>
    <row r="345" spans="1:29">
      <c r="A345">
        <v>338</v>
      </c>
      <c r="B345">
        <v>3355</v>
      </c>
      <c r="C345" t="s">
        <v>893</v>
      </c>
      <c r="D345" t="s">
        <v>36</v>
      </c>
      <c r="E345" t="s">
        <v>89</v>
      </c>
      <c r="F345" t="s">
        <v>894</v>
      </c>
      <c r="G345" t="str">
        <f>"00430045"</f>
        <v>00430045</v>
      </c>
      <c r="H345">
        <v>38.4</v>
      </c>
      <c r="I345">
        <v>10</v>
      </c>
      <c r="J345">
        <v>8</v>
      </c>
      <c r="M345">
        <v>8</v>
      </c>
      <c r="N345">
        <v>4</v>
      </c>
      <c r="O345">
        <v>2</v>
      </c>
      <c r="P345">
        <v>62.4</v>
      </c>
      <c r="Q345">
        <v>13</v>
      </c>
      <c r="R345">
        <v>13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13</v>
      </c>
      <c r="Z345">
        <v>0</v>
      </c>
      <c r="AA345">
        <v>38.799999999999997</v>
      </c>
      <c r="AC345">
        <v>114.2</v>
      </c>
    </row>
    <row r="346" spans="1:29">
      <c r="A346">
        <v>339</v>
      </c>
      <c r="B346">
        <v>1637</v>
      </c>
      <c r="C346" t="s">
        <v>895</v>
      </c>
      <c r="D346" t="s">
        <v>27</v>
      </c>
      <c r="E346" t="s">
        <v>252</v>
      </c>
      <c r="F346" t="s">
        <v>896</v>
      </c>
      <c r="G346" t="str">
        <f>"00508229"</f>
        <v>00508229</v>
      </c>
      <c r="H346">
        <v>50.4</v>
      </c>
      <c r="I346">
        <v>10</v>
      </c>
      <c r="M346">
        <v>0</v>
      </c>
      <c r="N346">
        <v>4</v>
      </c>
      <c r="O346">
        <v>2</v>
      </c>
      <c r="P346">
        <v>66.400000000000006</v>
      </c>
      <c r="Q346">
        <v>18</v>
      </c>
      <c r="R346">
        <v>18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18</v>
      </c>
      <c r="Z346">
        <v>3</v>
      </c>
      <c r="AA346">
        <v>26.8</v>
      </c>
      <c r="AC346">
        <v>114.2</v>
      </c>
    </row>
    <row r="347" spans="1:29">
      <c r="A347">
        <v>340</v>
      </c>
      <c r="B347">
        <v>3185</v>
      </c>
      <c r="C347" t="s">
        <v>897</v>
      </c>
      <c r="D347" t="s">
        <v>898</v>
      </c>
      <c r="E347" t="s">
        <v>156</v>
      </c>
      <c r="F347" t="s">
        <v>899</v>
      </c>
      <c r="G347" t="str">
        <f>"00283367"</f>
        <v>00283367</v>
      </c>
      <c r="H347">
        <v>43.2</v>
      </c>
      <c r="I347">
        <v>0</v>
      </c>
      <c r="M347">
        <v>0</v>
      </c>
      <c r="N347">
        <v>4</v>
      </c>
      <c r="O347">
        <v>2</v>
      </c>
      <c r="P347">
        <v>49.2</v>
      </c>
      <c r="Q347">
        <v>62</v>
      </c>
      <c r="R347">
        <v>62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62</v>
      </c>
      <c r="Z347">
        <v>3</v>
      </c>
      <c r="AA347">
        <v>0</v>
      </c>
      <c r="AC347">
        <v>114.2</v>
      </c>
    </row>
    <row r="348" spans="1:29">
      <c r="A348">
        <v>341</v>
      </c>
      <c r="B348">
        <v>291</v>
      </c>
      <c r="C348" t="s">
        <v>900</v>
      </c>
      <c r="D348" t="s">
        <v>155</v>
      </c>
      <c r="E348" t="s">
        <v>237</v>
      </c>
      <c r="F348" t="s">
        <v>901</v>
      </c>
      <c r="G348" t="str">
        <f>"00161645"</f>
        <v>00161645</v>
      </c>
      <c r="H348">
        <v>36</v>
      </c>
      <c r="I348">
        <v>10</v>
      </c>
      <c r="J348">
        <v>8</v>
      </c>
      <c r="M348">
        <v>8</v>
      </c>
      <c r="N348">
        <v>4</v>
      </c>
      <c r="O348">
        <v>0</v>
      </c>
      <c r="P348">
        <v>58</v>
      </c>
      <c r="Q348">
        <v>53</v>
      </c>
      <c r="R348">
        <v>53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53</v>
      </c>
      <c r="Z348">
        <v>3</v>
      </c>
      <c r="AA348">
        <v>0</v>
      </c>
      <c r="AC348">
        <v>114</v>
      </c>
    </row>
    <row r="349" spans="1:29">
      <c r="A349">
        <v>342</v>
      </c>
      <c r="B349">
        <v>4160</v>
      </c>
      <c r="C349" t="s">
        <v>902</v>
      </c>
      <c r="D349" t="s">
        <v>903</v>
      </c>
      <c r="E349" t="s">
        <v>904</v>
      </c>
      <c r="F349" t="s">
        <v>905</v>
      </c>
      <c r="G349" t="str">
        <f>"00489518"</f>
        <v>00489518</v>
      </c>
      <c r="H349">
        <v>36</v>
      </c>
      <c r="I349">
        <v>0</v>
      </c>
      <c r="M349">
        <v>0</v>
      </c>
      <c r="N349">
        <v>4</v>
      </c>
      <c r="O349">
        <v>2</v>
      </c>
      <c r="P349">
        <v>42</v>
      </c>
      <c r="Q349">
        <v>69</v>
      </c>
      <c r="R349">
        <v>69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69</v>
      </c>
      <c r="Z349">
        <v>3</v>
      </c>
      <c r="AA349">
        <v>0</v>
      </c>
      <c r="AC349">
        <v>114</v>
      </c>
    </row>
    <row r="350" spans="1:29">
      <c r="A350">
        <v>343</v>
      </c>
      <c r="B350">
        <v>4161</v>
      </c>
      <c r="C350" t="s">
        <v>412</v>
      </c>
      <c r="D350" t="s">
        <v>98</v>
      </c>
      <c r="E350" t="s">
        <v>122</v>
      </c>
      <c r="F350" t="s">
        <v>906</v>
      </c>
      <c r="G350" t="str">
        <f>"00442222"</f>
        <v>00442222</v>
      </c>
      <c r="H350">
        <v>36</v>
      </c>
      <c r="I350">
        <v>10</v>
      </c>
      <c r="M350">
        <v>0</v>
      </c>
      <c r="N350">
        <v>4</v>
      </c>
      <c r="O350">
        <v>2</v>
      </c>
      <c r="P350">
        <v>52</v>
      </c>
      <c r="Q350">
        <v>62</v>
      </c>
      <c r="R350">
        <v>62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62</v>
      </c>
      <c r="Z350">
        <v>0</v>
      </c>
      <c r="AA350">
        <v>0</v>
      </c>
      <c r="AC350">
        <v>114</v>
      </c>
    </row>
    <row r="351" spans="1:29">
      <c r="A351">
        <v>344</v>
      </c>
      <c r="B351">
        <v>1397</v>
      </c>
      <c r="C351" t="s">
        <v>492</v>
      </c>
      <c r="D351" t="s">
        <v>907</v>
      </c>
      <c r="E351" t="s">
        <v>224</v>
      </c>
      <c r="F351" t="s">
        <v>908</v>
      </c>
      <c r="G351" t="str">
        <f>"00484141"</f>
        <v>00484141</v>
      </c>
      <c r="H351">
        <v>36</v>
      </c>
      <c r="I351">
        <v>0</v>
      </c>
      <c r="L351">
        <v>4</v>
      </c>
      <c r="M351">
        <v>4</v>
      </c>
      <c r="N351">
        <v>4</v>
      </c>
      <c r="O351">
        <v>2</v>
      </c>
      <c r="P351">
        <v>46</v>
      </c>
      <c r="Q351">
        <v>68</v>
      </c>
      <c r="R351">
        <v>68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68</v>
      </c>
      <c r="Z351">
        <v>0</v>
      </c>
      <c r="AA351">
        <v>0</v>
      </c>
      <c r="AC351">
        <v>114</v>
      </c>
    </row>
    <row r="352" spans="1:29">
      <c r="A352">
        <v>345</v>
      </c>
      <c r="B352">
        <v>319</v>
      </c>
      <c r="C352" t="s">
        <v>909</v>
      </c>
      <c r="D352" t="s">
        <v>185</v>
      </c>
      <c r="E352" t="s">
        <v>115</v>
      </c>
      <c r="F352" t="s">
        <v>910</v>
      </c>
      <c r="G352" t="str">
        <f>"00508591"</f>
        <v>00508591</v>
      </c>
      <c r="H352">
        <v>36</v>
      </c>
      <c r="I352">
        <v>0</v>
      </c>
      <c r="M352">
        <v>0</v>
      </c>
      <c r="N352">
        <v>4</v>
      </c>
      <c r="O352">
        <v>2</v>
      </c>
      <c r="P352">
        <v>42</v>
      </c>
      <c r="Q352">
        <v>72</v>
      </c>
      <c r="R352">
        <v>72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72</v>
      </c>
      <c r="Z352">
        <v>0</v>
      </c>
      <c r="AA352">
        <v>0</v>
      </c>
      <c r="AC352">
        <v>114</v>
      </c>
    </row>
    <row r="353" spans="1:29">
      <c r="A353">
        <v>346</v>
      </c>
      <c r="B353">
        <v>2197</v>
      </c>
      <c r="C353" t="s">
        <v>911</v>
      </c>
      <c r="D353" t="s">
        <v>39</v>
      </c>
      <c r="E353" t="s">
        <v>79</v>
      </c>
      <c r="F353" t="s">
        <v>912</v>
      </c>
      <c r="G353" t="str">
        <f>"00524425"</f>
        <v>00524425</v>
      </c>
      <c r="H353">
        <v>36</v>
      </c>
      <c r="I353">
        <v>0</v>
      </c>
      <c r="M353">
        <v>0</v>
      </c>
      <c r="N353">
        <v>0</v>
      </c>
      <c r="O353">
        <v>0</v>
      </c>
      <c r="P353">
        <v>36</v>
      </c>
      <c r="Q353">
        <v>78</v>
      </c>
      <c r="R353">
        <v>78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78</v>
      </c>
      <c r="Z353">
        <v>0</v>
      </c>
      <c r="AA353">
        <v>0</v>
      </c>
      <c r="AC353">
        <v>114</v>
      </c>
    </row>
    <row r="354" spans="1:29">
      <c r="A354">
        <v>347</v>
      </c>
      <c r="B354">
        <v>101</v>
      </c>
      <c r="C354" t="s">
        <v>913</v>
      </c>
      <c r="D354" t="s">
        <v>39</v>
      </c>
      <c r="E354" t="s">
        <v>914</v>
      </c>
      <c r="F354" t="s">
        <v>915</v>
      </c>
      <c r="G354" t="str">
        <f>"201511014335"</f>
        <v>201511014335</v>
      </c>
      <c r="H354">
        <v>28.8</v>
      </c>
      <c r="I354">
        <v>10</v>
      </c>
      <c r="J354">
        <v>8</v>
      </c>
      <c r="K354">
        <v>6</v>
      </c>
      <c r="M354">
        <v>14</v>
      </c>
      <c r="N354">
        <v>4</v>
      </c>
      <c r="O354">
        <v>2</v>
      </c>
      <c r="P354">
        <v>58.8</v>
      </c>
      <c r="Q354">
        <v>55</v>
      </c>
      <c r="R354">
        <v>55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55</v>
      </c>
      <c r="Z354">
        <v>0</v>
      </c>
      <c r="AA354">
        <v>0</v>
      </c>
      <c r="AC354">
        <v>113.8</v>
      </c>
    </row>
    <row r="355" spans="1:29">
      <c r="A355">
        <v>348</v>
      </c>
      <c r="B355">
        <v>703</v>
      </c>
      <c r="C355" t="s">
        <v>751</v>
      </c>
      <c r="D355" t="s">
        <v>98</v>
      </c>
      <c r="E355" t="s">
        <v>12</v>
      </c>
      <c r="F355" t="s">
        <v>916</v>
      </c>
      <c r="G355" t="str">
        <f>"00521569"</f>
        <v>00521569</v>
      </c>
      <c r="H355">
        <v>28.8</v>
      </c>
      <c r="I355">
        <v>10</v>
      </c>
      <c r="M355">
        <v>0</v>
      </c>
      <c r="N355">
        <v>4</v>
      </c>
      <c r="O355">
        <v>2</v>
      </c>
      <c r="P355">
        <v>44.8</v>
      </c>
      <c r="Q355">
        <v>69</v>
      </c>
      <c r="R355">
        <v>69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69</v>
      </c>
      <c r="Z355">
        <v>0</v>
      </c>
      <c r="AA355">
        <v>0</v>
      </c>
      <c r="AC355">
        <v>113.8</v>
      </c>
    </row>
    <row r="356" spans="1:29">
      <c r="A356">
        <v>349</v>
      </c>
      <c r="B356">
        <v>3234</v>
      </c>
      <c r="C356" t="s">
        <v>917</v>
      </c>
      <c r="D356" t="s">
        <v>27</v>
      </c>
      <c r="E356" t="s">
        <v>15</v>
      </c>
      <c r="F356" t="s">
        <v>918</v>
      </c>
      <c r="G356" t="str">
        <f>"00532502"</f>
        <v>00532502</v>
      </c>
      <c r="H356">
        <v>28.8</v>
      </c>
      <c r="I356">
        <v>0</v>
      </c>
      <c r="M356">
        <v>0</v>
      </c>
      <c r="N356">
        <v>4</v>
      </c>
      <c r="O356">
        <v>2</v>
      </c>
      <c r="P356">
        <v>34.799999999999997</v>
      </c>
      <c r="Q356">
        <v>79</v>
      </c>
      <c r="R356">
        <v>79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79</v>
      </c>
      <c r="Z356">
        <v>0</v>
      </c>
      <c r="AA356">
        <v>0</v>
      </c>
      <c r="AC356">
        <v>113.8</v>
      </c>
    </row>
    <row r="357" spans="1:29">
      <c r="A357">
        <v>350</v>
      </c>
      <c r="B357">
        <v>2491</v>
      </c>
      <c r="C357" t="s">
        <v>919</v>
      </c>
      <c r="D357" t="s">
        <v>251</v>
      </c>
      <c r="E357" t="s">
        <v>36</v>
      </c>
      <c r="F357" t="s">
        <v>920</v>
      </c>
      <c r="G357" t="str">
        <f>"00525884"</f>
        <v>00525884</v>
      </c>
      <c r="H357">
        <v>28.8</v>
      </c>
      <c r="I357">
        <v>0</v>
      </c>
      <c r="M357">
        <v>0</v>
      </c>
      <c r="N357">
        <v>4</v>
      </c>
      <c r="O357">
        <v>2</v>
      </c>
      <c r="P357">
        <v>34.799999999999997</v>
      </c>
      <c r="Q357">
        <v>79</v>
      </c>
      <c r="R357">
        <v>79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79</v>
      </c>
      <c r="Z357">
        <v>0</v>
      </c>
      <c r="AA357">
        <v>0</v>
      </c>
      <c r="AC357">
        <v>113.8</v>
      </c>
    </row>
    <row r="358" spans="1:29">
      <c r="A358">
        <v>351</v>
      </c>
      <c r="B358">
        <v>3456</v>
      </c>
      <c r="C358" t="s">
        <v>921</v>
      </c>
      <c r="D358" t="s">
        <v>27</v>
      </c>
      <c r="E358" t="s">
        <v>922</v>
      </c>
      <c r="F358" t="s">
        <v>923</v>
      </c>
      <c r="G358" t="str">
        <f>"00498321"</f>
        <v>00498321</v>
      </c>
      <c r="H358">
        <v>21.6</v>
      </c>
      <c r="I358">
        <v>10</v>
      </c>
      <c r="J358">
        <v>8</v>
      </c>
      <c r="M358">
        <v>8</v>
      </c>
      <c r="N358">
        <v>4</v>
      </c>
      <c r="O358">
        <v>2</v>
      </c>
      <c r="P358">
        <v>45.6</v>
      </c>
      <c r="Q358">
        <v>65</v>
      </c>
      <c r="R358">
        <v>65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65</v>
      </c>
      <c r="Z358">
        <v>3</v>
      </c>
      <c r="AA358">
        <v>0</v>
      </c>
      <c r="AC358">
        <v>113.6</v>
      </c>
    </row>
    <row r="359" spans="1:29">
      <c r="A359">
        <v>352</v>
      </c>
      <c r="B359">
        <v>2341</v>
      </c>
      <c r="C359" t="s">
        <v>924</v>
      </c>
      <c r="D359" t="s">
        <v>925</v>
      </c>
      <c r="E359" t="s">
        <v>18</v>
      </c>
      <c r="F359" t="s">
        <v>926</v>
      </c>
      <c r="G359" t="str">
        <f>"00532022"</f>
        <v>00532022</v>
      </c>
      <c r="H359">
        <v>57.6</v>
      </c>
      <c r="I359">
        <v>0</v>
      </c>
      <c r="J359">
        <v>8</v>
      </c>
      <c r="K359">
        <v>6</v>
      </c>
      <c r="M359">
        <v>14</v>
      </c>
      <c r="N359">
        <v>4</v>
      </c>
      <c r="O359">
        <v>2</v>
      </c>
      <c r="P359">
        <v>77.599999999999994</v>
      </c>
      <c r="Q359">
        <v>36</v>
      </c>
      <c r="R359">
        <v>36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36</v>
      </c>
      <c r="Z359">
        <v>0</v>
      </c>
      <c r="AA359">
        <v>0</v>
      </c>
      <c r="AC359">
        <v>113.6</v>
      </c>
    </row>
    <row r="360" spans="1:29">
      <c r="A360">
        <v>353</v>
      </c>
      <c r="B360">
        <v>74</v>
      </c>
      <c r="C360" t="s">
        <v>927</v>
      </c>
      <c r="D360" t="s">
        <v>175</v>
      </c>
      <c r="E360" t="s">
        <v>410</v>
      </c>
      <c r="F360" t="s">
        <v>928</v>
      </c>
      <c r="G360" t="str">
        <f>"00530816"</f>
        <v>00530816</v>
      </c>
      <c r="H360">
        <v>21.6</v>
      </c>
      <c r="I360">
        <v>0</v>
      </c>
      <c r="M360">
        <v>0</v>
      </c>
      <c r="N360">
        <v>4</v>
      </c>
      <c r="O360">
        <v>0</v>
      </c>
      <c r="P360">
        <v>25.6</v>
      </c>
      <c r="Q360">
        <v>88</v>
      </c>
      <c r="R360">
        <v>88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88</v>
      </c>
      <c r="Z360">
        <v>0</v>
      </c>
      <c r="AA360">
        <v>0</v>
      </c>
      <c r="AC360">
        <v>113.6</v>
      </c>
    </row>
    <row r="361" spans="1:29">
      <c r="A361">
        <v>354</v>
      </c>
      <c r="B361">
        <v>1875</v>
      </c>
      <c r="C361" t="s">
        <v>929</v>
      </c>
      <c r="D361" t="s">
        <v>930</v>
      </c>
      <c r="E361" t="s">
        <v>15</v>
      </c>
      <c r="F361" t="s">
        <v>931</v>
      </c>
      <c r="G361" t="str">
        <f>"00493044"</f>
        <v>00493044</v>
      </c>
      <c r="H361">
        <v>30.56</v>
      </c>
      <c r="I361">
        <v>0</v>
      </c>
      <c r="M361">
        <v>0</v>
      </c>
      <c r="N361">
        <v>4</v>
      </c>
      <c r="O361">
        <v>0</v>
      </c>
      <c r="P361">
        <v>34.56</v>
      </c>
      <c r="Q361">
        <v>70</v>
      </c>
      <c r="R361">
        <v>70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70</v>
      </c>
      <c r="Z361">
        <v>9</v>
      </c>
      <c r="AA361">
        <v>0</v>
      </c>
      <c r="AC361">
        <v>113.56</v>
      </c>
    </row>
    <row r="362" spans="1:29">
      <c r="A362">
        <v>355</v>
      </c>
      <c r="B362">
        <v>1151</v>
      </c>
      <c r="C362" t="s">
        <v>932</v>
      </c>
      <c r="D362" t="s">
        <v>185</v>
      </c>
      <c r="E362" t="s">
        <v>28</v>
      </c>
      <c r="F362" t="s">
        <v>933</v>
      </c>
      <c r="G362" t="str">
        <f>"00481670"</f>
        <v>00481670</v>
      </c>
      <c r="H362">
        <v>50.4</v>
      </c>
      <c r="I362">
        <v>0</v>
      </c>
      <c r="M362">
        <v>0</v>
      </c>
      <c r="N362">
        <v>4</v>
      </c>
      <c r="O362">
        <v>0</v>
      </c>
      <c r="P362">
        <v>54.4</v>
      </c>
      <c r="Q362">
        <v>59</v>
      </c>
      <c r="R362">
        <v>59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59</v>
      </c>
      <c r="Z362">
        <v>0</v>
      </c>
      <c r="AA362">
        <v>0</v>
      </c>
      <c r="AC362">
        <v>113.4</v>
      </c>
    </row>
    <row r="363" spans="1:29">
      <c r="A363">
        <v>356</v>
      </c>
      <c r="B363">
        <v>4216</v>
      </c>
      <c r="C363" t="s">
        <v>934</v>
      </c>
      <c r="D363" t="s">
        <v>935</v>
      </c>
      <c r="E363" t="s">
        <v>79</v>
      </c>
      <c r="F363" t="s">
        <v>936</v>
      </c>
      <c r="G363" t="str">
        <f>"00449963"</f>
        <v>00449963</v>
      </c>
      <c r="H363">
        <v>28.36</v>
      </c>
      <c r="I363">
        <v>0</v>
      </c>
      <c r="J363">
        <v>16</v>
      </c>
      <c r="M363">
        <v>16</v>
      </c>
      <c r="N363">
        <v>4</v>
      </c>
      <c r="O363">
        <v>0</v>
      </c>
      <c r="P363">
        <v>48.36</v>
      </c>
      <c r="Q363">
        <v>59</v>
      </c>
      <c r="R363">
        <v>59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59</v>
      </c>
      <c r="Z363">
        <v>6</v>
      </c>
      <c r="AA363">
        <v>0</v>
      </c>
      <c r="AC363">
        <v>113.36</v>
      </c>
    </row>
    <row r="364" spans="1:29">
      <c r="A364">
        <v>357</v>
      </c>
      <c r="B364">
        <v>205</v>
      </c>
      <c r="C364" t="s">
        <v>937</v>
      </c>
      <c r="D364" t="s">
        <v>216</v>
      </c>
      <c r="E364" t="s">
        <v>79</v>
      </c>
      <c r="F364" t="s">
        <v>938</v>
      </c>
      <c r="G364" t="str">
        <f>"00506070"</f>
        <v>00506070</v>
      </c>
      <c r="H364">
        <v>30.24</v>
      </c>
      <c r="I364">
        <v>10</v>
      </c>
      <c r="J364">
        <v>8</v>
      </c>
      <c r="M364">
        <v>8</v>
      </c>
      <c r="N364">
        <v>4</v>
      </c>
      <c r="O364">
        <v>2</v>
      </c>
      <c r="P364">
        <v>54.24</v>
      </c>
      <c r="Q364">
        <v>56</v>
      </c>
      <c r="R364">
        <v>56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56</v>
      </c>
      <c r="Z364">
        <v>3</v>
      </c>
      <c r="AA364">
        <v>0</v>
      </c>
      <c r="AC364">
        <v>113.24</v>
      </c>
    </row>
    <row r="365" spans="1:29">
      <c r="A365">
        <v>358</v>
      </c>
      <c r="B365">
        <v>4364</v>
      </c>
      <c r="C365" t="s">
        <v>939</v>
      </c>
      <c r="D365" t="s">
        <v>940</v>
      </c>
      <c r="E365" t="s">
        <v>79</v>
      </c>
      <c r="F365" t="s">
        <v>941</v>
      </c>
      <c r="G365" t="str">
        <f>"00079617"</f>
        <v>00079617</v>
      </c>
      <c r="H365">
        <v>38.24</v>
      </c>
      <c r="I365">
        <v>0</v>
      </c>
      <c r="L365">
        <v>4</v>
      </c>
      <c r="M365">
        <v>4</v>
      </c>
      <c r="N365">
        <v>4</v>
      </c>
      <c r="O365">
        <v>2</v>
      </c>
      <c r="P365">
        <v>48.24</v>
      </c>
      <c r="Q365">
        <v>62</v>
      </c>
      <c r="R365">
        <v>62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62</v>
      </c>
      <c r="Z365">
        <v>3</v>
      </c>
      <c r="AA365">
        <v>0</v>
      </c>
      <c r="AC365">
        <v>113.24</v>
      </c>
    </row>
    <row r="366" spans="1:29">
      <c r="A366">
        <v>359</v>
      </c>
      <c r="B366">
        <v>4335</v>
      </c>
      <c r="C366" t="s">
        <v>943</v>
      </c>
      <c r="D366" t="s">
        <v>784</v>
      </c>
      <c r="E366" t="s">
        <v>18</v>
      </c>
      <c r="F366" t="s">
        <v>944</v>
      </c>
      <c r="G366" t="str">
        <f>"00531041"</f>
        <v>00531041</v>
      </c>
      <c r="H366">
        <v>43.2</v>
      </c>
      <c r="I366">
        <v>0</v>
      </c>
      <c r="J366">
        <v>8</v>
      </c>
      <c r="M366">
        <v>8</v>
      </c>
      <c r="N366">
        <v>4</v>
      </c>
      <c r="O366">
        <v>2</v>
      </c>
      <c r="P366">
        <v>57.2</v>
      </c>
      <c r="Q366">
        <v>53</v>
      </c>
      <c r="R366">
        <v>53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53</v>
      </c>
      <c r="Z366">
        <v>3</v>
      </c>
      <c r="AA366">
        <v>0</v>
      </c>
      <c r="AC366">
        <v>113.2</v>
      </c>
    </row>
    <row r="367" spans="1:29">
      <c r="A367">
        <v>360</v>
      </c>
      <c r="B367">
        <v>4096</v>
      </c>
      <c r="C367" t="s">
        <v>178</v>
      </c>
      <c r="D367" t="s">
        <v>17</v>
      </c>
      <c r="E367" t="s">
        <v>36</v>
      </c>
      <c r="F367" t="s">
        <v>942</v>
      </c>
      <c r="G367" t="str">
        <f>"00162123"</f>
        <v>00162123</v>
      </c>
      <c r="H367">
        <v>43.2</v>
      </c>
      <c r="I367">
        <v>0</v>
      </c>
      <c r="J367">
        <v>8</v>
      </c>
      <c r="M367">
        <v>8</v>
      </c>
      <c r="N367">
        <v>4</v>
      </c>
      <c r="O367">
        <v>2</v>
      </c>
      <c r="P367">
        <v>57.2</v>
      </c>
      <c r="Q367">
        <v>53</v>
      </c>
      <c r="R367">
        <v>53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53</v>
      </c>
      <c r="Z367">
        <v>3</v>
      </c>
      <c r="AA367">
        <v>0</v>
      </c>
      <c r="AC367">
        <v>113.2</v>
      </c>
    </row>
    <row r="368" spans="1:29">
      <c r="A368">
        <v>361</v>
      </c>
      <c r="B368">
        <v>940</v>
      </c>
      <c r="C368" t="s">
        <v>945</v>
      </c>
      <c r="D368" t="s">
        <v>113</v>
      </c>
      <c r="E368" t="s">
        <v>15</v>
      </c>
      <c r="F368" t="s">
        <v>946</v>
      </c>
      <c r="G368" t="str">
        <f>"201511032572"</f>
        <v>201511032572</v>
      </c>
      <c r="H368">
        <v>43.2</v>
      </c>
      <c r="I368">
        <v>10</v>
      </c>
      <c r="J368">
        <v>8</v>
      </c>
      <c r="M368">
        <v>8</v>
      </c>
      <c r="N368">
        <v>4</v>
      </c>
      <c r="O368">
        <v>2</v>
      </c>
      <c r="P368">
        <v>67.2</v>
      </c>
      <c r="Q368">
        <v>46</v>
      </c>
      <c r="R368">
        <v>46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46</v>
      </c>
      <c r="Z368">
        <v>0</v>
      </c>
      <c r="AA368">
        <v>0</v>
      </c>
      <c r="AC368">
        <v>113.2</v>
      </c>
    </row>
    <row r="369" spans="1:29">
      <c r="A369">
        <v>362</v>
      </c>
      <c r="B369">
        <v>324</v>
      </c>
      <c r="C369" t="s">
        <v>947</v>
      </c>
      <c r="D369" t="s">
        <v>27</v>
      </c>
      <c r="E369" t="s">
        <v>15</v>
      </c>
      <c r="F369" t="s">
        <v>948</v>
      </c>
      <c r="G369" t="str">
        <f>"00480027"</f>
        <v>00480027</v>
      </c>
      <c r="H369">
        <v>40</v>
      </c>
      <c r="I369">
        <v>0</v>
      </c>
      <c r="J369">
        <v>8</v>
      </c>
      <c r="L369">
        <v>4</v>
      </c>
      <c r="M369">
        <v>12</v>
      </c>
      <c r="N369">
        <v>4</v>
      </c>
      <c r="O369">
        <v>2</v>
      </c>
      <c r="P369">
        <v>58</v>
      </c>
      <c r="Q369">
        <v>49</v>
      </c>
      <c r="R369">
        <v>49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49</v>
      </c>
      <c r="Z369">
        <v>6</v>
      </c>
      <c r="AA369">
        <v>0</v>
      </c>
      <c r="AC369">
        <v>113</v>
      </c>
    </row>
    <row r="370" spans="1:29">
      <c r="A370">
        <v>363</v>
      </c>
      <c r="B370">
        <v>1090</v>
      </c>
      <c r="C370" t="s">
        <v>949</v>
      </c>
      <c r="D370" t="s">
        <v>159</v>
      </c>
      <c r="E370" t="s">
        <v>122</v>
      </c>
      <c r="F370" t="s">
        <v>950</v>
      </c>
      <c r="G370" t="str">
        <f>"201409003647"</f>
        <v>201409003647</v>
      </c>
      <c r="H370">
        <v>36</v>
      </c>
      <c r="I370">
        <v>10</v>
      </c>
      <c r="J370">
        <v>8</v>
      </c>
      <c r="M370">
        <v>8</v>
      </c>
      <c r="N370">
        <v>4</v>
      </c>
      <c r="O370">
        <v>2</v>
      </c>
      <c r="P370">
        <v>60</v>
      </c>
      <c r="Q370">
        <v>53</v>
      </c>
      <c r="R370">
        <v>53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53</v>
      </c>
      <c r="Z370">
        <v>0</v>
      </c>
      <c r="AA370">
        <v>0</v>
      </c>
      <c r="AC370">
        <v>113</v>
      </c>
    </row>
    <row r="371" spans="1:29">
      <c r="A371">
        <v>364</v>
      </c>
      <c r="B371">
        <v>279</v>
      </c>
      <c r="C371" t="s">
        <v>951</v>
      </c>
      <c r="D371" t="s">
        <v>952</v>
      </c>
      <c r="E371" t="s">
        <v>134</v>
      </c>
      <c r="F371" t="s">
        <v>953</v>
      </c>
      <c r="G371" t="str">
        <f>"00153073"</f>
        <v>00153073</v>
      </c>
      <c r="H371">
        <v>0</v>
      </c>
      <c r="I371">
        <v>10</v>
      </c>
      <c r="M371">
        <v>0</v>
      </c>
      <c r="N371">
        <v>4</v>
      </c>
      <c r="O371">
        <v>0</v>
      </c>
      <c r="P371">
        <v>14</v>
      </c>
      <c r="Q371">
        <v>99</v>
      </c>
      <c r="R371">
        <v>99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99</v>
      </c>
      <c r="Z371">
        <v>0</v>
      </c>
      <c r="AA371">
        <v>0</v>
      </c>
      <c r="AB371" t="s">
        <v>128</v>
      </c>
      <c r="AC371">
        <v>113</v>
      </c>
    </row>
    <row r="372" spans="1:29">
      <c r="A372">
        <v>365</v>
      </c>
      <c r="B372">
        <v>4357</v>
      </c>
      <c r="C372" t="s">
        <v>954</v>
      </c>
      <c r="D372" t="s">
        <v>643</v>
      </c>
      <c r="E372" t="s">
        <v>79</v>
      </c>
      <c r="F372" t="s">
        <v>955</v>
      </c>
      <c r="G372" t="str">
        <f>"00518991"</f>
        <v>00518991</v>
      </c>
      <c r="H372">
        <v>28.8</v>
      </c>
      <c r="I372">
        <v>0</v>
      </c>
      <c r="M372">
        <v>0</v>
      </c>
      <c r="N372">
        <v>4</v>
      </c>
      <c r="O372">
        <v>0</v>
      </c>
      <c r="P372">
        <v>32.799999999999997</v>
      </c>
      <c r="Q372">
        <v>77</v>
      </c>
      <c r="R372">
        <v>77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77</v>
      </c>
      <c r="Z372">
        <v>3</v>
      </c>
      <c r="AA372">
        <v>0</v>
      </c>
      <c r="AC372">
        <v>112.8</v>
      </c>
    </row>
    <row r="373" spans="1:29">
      <c r="A373">
        <v>366</v>
      </c>
      <c r="B373">
        <v>1262</v>
      </c>
      <c r="C373" t="s">
        <v>956</v>
      </c>
      <c r="D373" t="s">
        <v>248</v>
      </c>
      <c r="E373" t="s">
        <v>134</v>
      </c>
      <c r="F373" t="s">
        <v>957</v>
      </c>
      <c r="G373" t="str">
        <f>"00148356"</f>
        <v>00148356</v>
      </c>
      <c r="H373">
        <v>28.8</v>
      </c>
      <c r="I373">
        <v>10</v>
      </c>
      <c r="J373">
        <v>8</v>
      </c>
      <c r="M373">
        <v>8</v>
      </c>
      <c r="N373">
        <v>4</v>
      </c>
      <c r="O373">
        <v>0</v>
      </c>
      <c r="P373">
        <v>50.8</v>
      </c>
      <c r="Q373">
        <v>62</v>
      </c>
      <c r="R373">
        <v>62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62</v>
      </c>
      <c r="Z373">
        <v>0</v>
      </c>
      <c r="AA373">
        <v>0</v>
      </c>
      <c r="AB373" t="s">
        <v>128</v>
      </c>
      <c r="AC373">
        <v>112.8</v>
      </c>
    </row>
    <row r="374" spans="1:29">
      <c r="A374">
        <v>367</v>
      </c>
      <c r="B374">
        <v>1421</v>
      </c>
      <c r="C374" t="s">
        <v>958</v>
      </c>
      <c r="D374" t="s">
        <v>959</v>
      </c>
      <c r="E374" t="s">
        <v>211</v>
      </c>
      <c r="F374" t="s">
        <v>960</v>
      </c>
      <c r="G374" t="str">
        <f>"00513302"</f>
        <v>00513302</v>
      </c>
      <c r="H374">
        <v>28.8</v>
      </c>
      <c r="I374">
        <v>10</v>
      </c>
      <c r="M374">
        <v>0</v>
      </c>
      <c r="N374">
        <v>4</v>
      </c>
      <c r="O374">
        <v>0</v>
      </c>
      <c r="P374">
        <v>42.8</v>
      </c>
      <c r="Q374">
        <v>70</v>
      </c>
      <c r="R374">
        <v>70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70</v>
      </c>
      <c r="Z374">
        <v>0</v>
      </c>
      <c r="AA374">
        <v>0</v>
      </c>
      <c r="AC374">
        <v>112.8</v>
      </c>
    </row>
    <row r="375" spans="1:29">
      <c r="A375">
        <v>368</v>
      </c>
      <c r="B375">
        <v>1478</v>
      </c>
      <c r="C375" t="s">
        <v>961</v>
      </c>
      <c r="D375" t="s">
        <v>962</v>
      </c>
      <c r="E375" t="s">
        <v>227</v>
      </c>
      <c r="F375" t="s">
        <v>963</v>
      </c>
      <c r="G375" t="str">
        <f>"00504911"</f>
        <v>00504911</v>
      </c>
      <c r="H375">
        <v>28.8</v>
      </c>
      <c r="I375">
        <v>0</v>
      </c>
      <c r="L375">
        <v>4</v>
      </c>
      <c r="M375">
        <v>4</v>
      </c>
      <c r="N375">
        <v>4</v>
      </c>
      <c r="O375">
        <v>0</v>
      </c>
      <c r="P375">
        <v>36.799999999999997</v>
      </c>
      <c r="Q375">
        <v>76</v>
      </c>
      <c r="R375">
        <v>76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76</v>
      </c>
      <c r="Z375">
        <v>0</v>
      </c>
      <c r="AA375">
        <v>0</v>
      </c>
      <c r="AC375">
        <v>112.8</v>
      </c>
    </row>
    <row r="376" spans="1:29">
      <c r="A376">
        <v>369</v>
      </c>
      <c r="B376">
        <v>3827</v>
      </c>
      <c r="C376" t="s">
        <v>964</v>
      </c>
      <c r="D376" t="s">
        <v>79</v>
      </c>
      <c r="E376" t="s">
        <v>18</v>
      </c>
      <c r="F376" t="s">
        <v>965</v>
      </c>
      <c r="G376" t="str">
        <f>"00096147"</f>
        <v>00096147</v>
      </c>
      <c r="H376">
        <v>29.76</v>
      </c>
      <c r="I376">
        <v>0</v>
      </c>
      <c r="M376">
        <v>0</v>
      </c>
      <c r="N376">
        <v>0</v>
      </c>
      <c r="O376">
        <v>0</v>
      </c>
      <c r="P376">
        <v>29.76</v>
      </c>
      <c r="Q376">
        <v>83</v>
      </c>
      <c r="R376">
        <v>83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83</v>
      </c>
      <c r="Z376">
        <v>0</v>
      </c>
      <c r="AA376">
        <v>0</v>
      </c>
      <c r="AC376">
        <v>112.76</v>
      </c>
    </row>
    <row r="377" spans="1:29">
      <c r="A377">
        <v>370</v>
      </c>
      <c r="B377">
        <v>3984</v>
      </c>
      <c r="C377" t="s">
        <v>966</v>
      </c>
      <c r="D377" t="s">
        <v>276</v>
      </c>
      <c r="E377" t="s">
        <v>967</v>
      </c>
      <c r="F377" t="s">
        <v>968</v>
      </c>
      <c r="G377" t="str">
        <f>"00442325"</f>
        <v>00442325</v>
      </c>
      <c r="H377">
        <v>39.6</v>
      </c>
      <c r="I377">
        <v>10</v>
      </c>
      <c r="L377">
        <v>4</v>
      </c>
      <c r="M377">
        <v>4</v>
      </c>
      <c r="N377">
        <v>4</v>
      </c>
      <c r="O377">
        <v>0</v>
      </c>
      <c r="P377">
        <v>57.6</v>
      </c>
      <c r="Q377">
        <v>55</v>
      </c>
      <c r="R377">
        <v>55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55</v>
      </c>
      <c r="Z377">
        <v>0</v>
      </c>
      <c r="AA377">
        <v>0</v>
      </c>
      <c r="AB377" t="s">
        <v>128</v>
      </c>
      <c r="AC377">
        <v>112.6</v>
      </c>
    </row>
    <row r="378" spans="1:29">
      <c r="A378">
        <v>371</v>
      </c>
      <c r="B378">
        <v>883</v>
      </c>
      <c r="C378" t="s">
        <v>969</v>
      </c>
      <c r="D378" t="s">
        <v>24</v>
      </c>
      <c r="E378" t="s">
        <v>970</v>
      </c>
      <c r="F378" t="s">
        <v>971</v>
      </c>
      <c r="G378" t="str">
        <f>"00527945"</f>
        <v>00527945</v>
      </c>
      <c r="H378">
        <v>21.6</v>
      </c>
      <c r="I378">
        <v>0</v>
      </c>
      <c r="L378">
        <v>4</v>
      </c>
      <c r="M378">
        <v>4</v>
      </c>
      <c r="N378">
        <v>4</v>
      </c>
      <c r="O378">
        <v>0</v>
      </c>
      <c r="P378">
        <v>29.6</v>
      </c>
      <c r="Q378">
        <v>83</v>
      </c>
      <c r="R378">
        <v>83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83</v>
      </c>
      <c r="Z378">
        <v>0</v>
      </c>
      <c r="AA378">
        <v>0</v>
      </c>
      <c r="AC378">
        <v>112.6</v>
      </c>
    </row>
    <row r="379" spans="1:29">
      <c r="A379">
        <v>372</v>
      </c>
      <c r="B379">
        <v>1929</v>
      </c>
      <c r="C379" t="s">
        <v>972</v>
      </c>
      <c r="D379" t="s">
        <v>394</v>
      </c>
      <c r="E379" t="s">
        <v>18</v>
      </c>
      <c r="F379" t="s">
        <v>973</v>
      </c>
      <c r="G379" t="str">
        <f>"00531526"</f>
        <v>00531526</v>
      </c>
      <c r="H379">
        <v>35.56</v>
      </c>
      <c r="I379">
        <v>0</v>
      </c>
      <c r="L379">
        <v>4</v>
      </c>
      <c r="M379">
        <v>4</v>
      </c>
      <c r="N379">
        <v>4</v>
      </c>
      <c r="O379">
        <v>2</v>
      </c>
      <c r="P379">
        <v>45.56</v>
      </c>
      <c r="Q379">
        <v>61</v>
      </c>
      <c r="R379">
        <v>61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61</v>
      </c>
      <c r="Z379">
        <v>6</v>
      </c>
      <c r="AA379">
        <v>0</v>
      </c>
      <c r="AC379">
        <v>112.56</v>
      </c>
    </row>
    <row r="380" spans="1:29">
      <c r="A380">
        <v>373</v>
      </c>
      <c r="B380">
        <v>4490</v>
      </c>
      <c r="C380" t="s">
        <v>974</v>
      </c>
      <c r="D380" t="s">
        <v>20</v>
      </c>
      <c r="E380" t="s">
        <v>975</v>
      </c>
      <c r="F380" t="s">
        <v>976</v>
      </c>
      <c r="G380" t="str">
        <f>"00336088"</f>
        <v>00336088</v>
      </c>
      <c r="H380">
        <v>21.44</v>
      </c>
      <c r="I380">
        <v>10</v>
      </c>
      <c r="K380">
        <v>6</v>
      </c>
      <c r="M380">
        <v>6</v>
      </c>
      <c r="N380">
        <v>4</v>
      </c>
      <c r="O380">
        <v>2</v>
      </c>
      <c r="P380">
        <v>43.44</v>
      </c>
      <c r="Q380">
        <v>63</v>
      </c>
      <c r="R380">
        <v>63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63</v>
      </c>
      <c r="Z380">
        <v>6</v>
      </c>
      <c r="AA380">
        <v>0</v>
      </c>
      <c r="AC380">
        <v>112.44</v>
      </c>
    </row>
    <row r="381" spans="1:29">
      <c r="A381">
        <v>374</v>
      </c>
      <c r="B381">
        <v>3361</v>
      </c>
      <c r="C381" t="s">
        <v>977</v>
      </c>
      <c r="D381" t="s">
        <v>170</v>
      </c>
      <c r="E381" t="s">
        <v>89</v>
      </c>
      <c r="F381" t="s">
        <v>978</v>
      </c>
      <c r="G381" t="str">
        <f>"00289382"</f>
        <v>00289382</v>
      </c>
      <c r="H381">
        <v>50.4</v>
      </c>
      <c r="I381">
        <v>0</v>
      </c>
      <c r="M381">
        <v>0</v>
      </c>
      <c r="N381">
        <v>4</v>
      </c>
      <c r="O381">
        <v>2</v>
      </c>
      <c r="P381">
        <v>56.4</v>
      </c>
      <c r="Q381">
        <v>18</v>
      </c>
      <c r="R381">
        <v>18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18</v>
      </c>
      <c r="Z381">
        <v>6</v>
      </c>
      <c r="AA381">
        <v>32</v>
      </c>
      <c r="AC381">
        <v>112.4</v>
      </c>
    </row>
    <row r="382" spans="1:29">
      <c r="A382">
        <v>375</v>
      </c>
      <c r="B382">
        <v>95</v>
      </c>
      <c r="C382" t="s">
        <v>979</v>
      </c>
      <c r="D382" t="s">
        <v>39</v>
      </c>
      <c r="E382" t="s">
        <v>436</v>
      </c>
      <c r="F382" t="s">
        <v>980</v>
      </c>
      <c r="G382" t="str">
        <f>"00149046"</f>
        <v>00149046</v>
      </c>
      <c r="H382">
        <v>14.4</v>
      </c>
      <c r="I382">
        <v>0</v>
      </c>
      <c r="M382">
        <v>0</v>
      </c>
      <c r="N382">
        <v>4</v>
      </c>
      <c r="O382">
        <v>0</v>
      </c>
      <c r="P382">
        <v>18.399999999999999</v>
      </c>
      <c r="Q382">
        <v>74</v>
      </c>
      <c r="R382">
        <v>74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74</v>
      </c>
      <c r="Z382">
        <v>0</v>
      </c>
      <c r="AA382">
        <v>20</v>
      </c>
      <c r="AC382">
        <v>112.4</v>
      </c>
    </row>
    <row r="383" spans="1:29">
      <c r="A383">
        <v>376</v>
      </c>
      <c r="B383">
        <v>3056</v>
      </c>
      <c r="C383" t="s">
        <v>726</v>
      </c>
      <c r="D383" t="s">
        <v>981</v>
      </c>
      <c r="E383" t="s">
        <v>18</v>
      </c>
      <c r="F383" t="s">
        <v>982</v>
      </c>
      <c r="G383" t="str">
        <f>"00187974"</f>
        <v>00187974</v>
      </c>
      <c r="H383">
        <v>50.4</v>
      </c>
      <c r="I383">
        <v>0</v>
      </c>
      <c r="J383">
        <v>8</v>
      </c>
      <c r="M383">
        <v>8</v>
      </c>
      <c r="N383">
        <v>4</v>
      </c>
      <c r="O383">
        <v>0</v>
      </c>
      <c r="P383">
        <v>62.4</v>
      </c>
      <c r="Q383">
        <v>47</v>
      </c>
      <c r="R383">
        <v>47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47</v>
      </c>
      <c r="Z383">
        <v>3</v>
      </c>
      <c r="AA383">
        <v>0</v>
      </c>
      <c r="AC383">
        <v>112.4</v>
      </c>
    </row>
    <row r="384" spans="1:29">
      <c r="A384">
        <v>377</v>
      </c>
      <c r="B384">
        <v>2812</v>
      </c>
      <c r="C384" t="s">
        <v>983</v>
      </c>
      <c r="D384" t="s">
        <v>465</v>
      </c>
      <c r="E384" t="s">
        <v>89</v>
      </c>
      <c r="F384" t="s">
        <v>984</v>
      </c>
      <c r="G384" t="str">
        <f>"00530192"</f>
        <v>00530192</v>
      </c>
      <c r="H384">
        <v>14.4</v>
      </c>
      <c r="I384">
        <v>10</v>
      </c>
      <c r="M384">
        <v>0</v>
      </c>
      <c r="N384">
        <v>4</v>
      </c>
      <c r="O384">
        <v>2</v>
      </c>
      <c r="P384">
        <v>30.4</v>
      </c>
      <c r="Q384">
        <v>82</v>
      </c>
      <c r="R384">
        <v>82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82</v>
      </c>
      <c r="Z384">
        <v>0</v>
      </c>
      <c r="AA384">
        <v>0</v>
      </c>
      <c r="AC384">
        <v>112.4</v>
      </c>
    </row>
    <row r="385" spans="1:29">
      <c r="A385">
        <v>378</v>
      </c>
      <c r="B385">
        <v>1554</v>
      </c>
      <c r="C385" t="s">
        <v>696</v>
      </c>
      <c r="D385" t="s">
        <v>544</v>
      </c>
      <c r="E385" t="s">
        <v>337</v>
      </c>
      <c r="F385" t="s">
        <v>985</v>
      </c>
      <c r="G385" t="str">
        <f>"201604001732"</f>
        <v>201604001732</v>
      </c>
      <c r="H385">
        <v>24.28</v>
      </c>
      <c r="I385">
        <v>0</v>
      </c>
      <c r="M385">
        <v>0</v>
      </c>
      <c r="N385">
        <v>4</v>
      </c>
      <c r="O385">
        <v>2</v>
      </c>
      <c r="P385">
        <v>30.28</v>
      </c>
      <c r="Q385">
        <v>46</v>
      </c>
      <c r="R385">
        <v>46</v>
      </c>
      <c r="S385">
        <v>18</v>
      </c>
      <c r="T385">
        <v>36</v>
      </c>
      <c r="U385">
        <v>0</v>
      </c>
      <c r="V385">
        <v>0</v>
      </c>
      <c r="W385">
        <v>0</v>
      </c>
      <c r="X385">
        <v>0</v>
      </c>
      <c r="Y385">
        <v>82</v>
      </c>
      <c r="Z385">
        <v>0</v>
      </c>
      <c r="AA385">
        <v>0</v>
      </c>
      <c r="AC385">
        <v>112.28</v>
      </c>
    </row>
    <row r="386" spans="1:29">
      <c r="A386">
        <v>379</v>
      </c>
      <c r="B386">
        <v>2246</v>
      </c>
      <c r="C386" t="s">
        <v>986</v>
      </c>
      <c r="D386" t="s">
        <v>987</v>
      </c>
      <c r="E386" t="s">
        <v>436</v>
      </c>
      <c r="F386" t="s">
        <v>988</v>
      </c>
      <c r="G386" t="str">
        <f>"00534043"</f>
        <v>00534043</v>
      </c>
      <c r="H386">
        <v>7.2</v>
      </c>
      <c r="I386">
        <v>0</v>
      </c>
      <c r="L386">
        <v>4</v>
      </c>
      <c r="M386">
        <v>4</v>
      </c>
      <c r="N386">
        <v>4</v>
      </c>
      <c r="O386">
        <v>2</v>
      </c>
      <c r="P386">
        <v>17.2</v>
      </c>
      <c r="Q386">
        <v>92</v>
      </c>
      <c r="R386">
        <v>92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92</v>
      </c>
      <c r="Z386">
        <v>3</v>
      </c>
      <c r="AA386">
        <v>0</v>
      </c>
      <c r="AB386" t="s">
        <v>128</v>
      </c>
      <c r="AC386">
        <v>112.2</v>
      </c>
    </row>
    <row r="387" spans="1:29">
      <c r="A387">
        <v>380</v>
      </c>
      <c r="B387">
        <v>999</v>
      </c>
      <c r="C387" t="s">
        <v>989</v>
      </c>
      <c r="D387" t="s">
        <v>400</v>
      </c>
      <c r="E387" t="s">
        <v>18</v>
      </c>
      <c r="F387" t="s">
        <v>990</v>
      </c>
      <c r="G387" t="str">
        <f>"00076181"</f>
        <v>00076181</v>
      </c>
      <c r="H387">
        <v>36</v>
      </c>
      <c r="I387">
        <v>10</v>
      </c>
      <c r="J387">
        <v>8</v>
      </c>
      <c r="M387">
        <v>8</v>
      </c>
      <c r="N387">
        <v>4</v>
      </c>
      <c r="O387">
        <v>2</v>
      </c>
      <c r="P387">
        <v>60</v>
      </c>
      <c r="Q387">
        <v>49</v>
      </c>
      <c r="R387">
        <v>49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49</v>
      </c>
      <c r="Z387">
        <v>3</v>
      </c>
      <c r="AA387">
        <v>0</v>
      </c>
      <c r="AC387">
        <v>112</v>
      </c>
    </row>
    <row r="388" spans="1:29">
      <c r="A388">
        <v>381</v>
      </c>
      <c r="B388">
        <v>2345</v>
      </c>
      <c r="C388" t="s">
        <v>991</v>
      </c>
      <c r="D388" t="s">
        <v>992</v>
      </c>
      <c r="E388" t="s">
        <v>50</v>
      </c>
      <c r="F388" t="s">
        <v>993</v>
      </c>
      <c r="G388" t="str">
        <f>"00099256"</f>
        <v>00099256</v>
      </c>
      <c r="H388">
        <v>36</v>
      </c>
      <c r="I388">
        <v>10</v>
      </c>
      <c r="J388">
        <v>8</v>
      </c>
      <c r="K388">
        <v>6</v>
      </c>
      <c r="M388">
        <v>14</v>
      </c>
      <c r="N388">
        <v>4</v>
      </c>
      <c r="O388">
        <v>2</v>
      </c>
      <c r="P388">
        <v>66</v>
      </c>
      <c r="Q388">
        <v>46</v>
      </c>
      <c r="R388">
        <v>46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46</v>
      </c>
      <c r="Z388">
        <v>0</v>
      </c>
      <c r="AA388">
        <v>0</v>
      </c>
      <c r="AC388">
        <v>112</v>
      </c>
    </row>
    <row r="389" spans="1:29">
      <c r="A389">
        <v>382</v>
      </c>
      <c r="B389">
        <v>2125</v>
      </c>
      <c r="C389" t="s">
        <v>994</v>
      </c>
      <c r="D389" t="s">
        <v>24</v>
      </c>
      <c r="E389" t="s">
        <v>115</v>
      </c>
      <c r="F389" t="s">
        <v>995</v>
      </c>
      <c r="G389" t="str">
        <f>"00507117"</f>
        <v>00507117</v>
      </c>
      <c r="H389">
        <v>36</v>
      </c>
      <c r="I389">
        <v>10</v>
      </c>
      <c r="J389">
        <v>8</v>
      </c>
      <c r="M389">
        <v>8</v>
      </c>
      <c r="N389">
        <v>4</v>
      </c>
      <c r="O389">
        <v>2</v>
      </c>
      <c r="P389">
        <v>60</v>
      </c>
      <c r="Q389">
        <v>52</v>
      </c>
      <c r="R389">
        <v>52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52</v>
      </c>
      <c r="Z389">
        <v>0</v>
      </c>
      <c r="AA389">
        <v>0</v>
      </c>
      <c r="AC389">
        <v>112</v>
      </c>
    </row>
    <row r="390" spans="1:29">
      <c r="A390">
        <v>383</v>
      </c>
      <c r="B390">
        <v>3836</v>
      </c>
      <c r="C390" t="s">
        <v>996</v>
      </c>
      <c r="D390" t="s">
        <v>98</v>
      </c>
      <c r="E390" t="s">
        <v>997</v>
      </c>
      <c r="F390" t="s">
        <v>998</v>
      </c>
      <c r="G390" t="str">
        <f>"00516741"</f>
        <v>00516741</v>
      </c>
      <c r="H390">
        <v>36</v>
      </c>
      <c r="I390">
        <v>0</v>
      </c>
      <c r="M390">
        <v>0</v>
      </c>
      <c r="N390">
        <v>0</v>
      </c>
      <c r="O390">
        <v>0</v>
      </c>
      <c r="P390">
        <v>36</v>
      </c>
      <c r="Q390">
        <v>76</v>
      </c>
      <c r="R390">
        <v>76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76</v>
      </c>
      <c r="Z390">
        <v>0</v>
      </c>
      <c r="AA390">
        <v>0</v>
      </c>
      <c r="AC390">
        <v>112</v>
      </c>
    </row>
    <row r="391" spans="1:29">
      <c r="A391">
        <v>384</v>
      </c>
      <c r="B391">
        <v>229</v>
      </c>
      <c r="C391" t="s">
        <v>999</v>
      </c>
      <c r="D391" t="s">
        <v>95</v>
      </c>
      <c r="E391" t="s">
        <v>585</v>
      </c>
      <c r="F391" t="s">
        <v>1000</v>
      </c>
      <c r="G391" t="str">
        <f>"00510164"</f>
        <v>00510164</v>
      </c>
      <c r="H391">
        <v>38.92</v>
      </c>
      <c r="I391">
        <v>0</v>
      </c>
      <c r="K391">
        <v>6</v>
      </c>
      <c r="M391">
        <v>6</v>
      </c>
      <c r="N391">
        <v>4</v>
      </c>
      <c r="O391">
        <v>2</v>
      </c>
      <c r="P391">
        <v>50.92</v>
      </c>
      <c r="Q391">
        <v>55</v>
      </c>
      <c r="R391">
        <v>55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55</v>
      </c>
      <c r="Z391">
        <v>6</v>
      </c>
      <c r="AA391">
        <v>0</v>
      </c>
      <c r="AC391">
        <v>111.92</v>
      </c>
    </row>
    <row r="392" spans="1:29">
      <c r="A392">
        <v>385</v>
      </c>
      <c r="B392">
        <v>1980</v>
      </c>
      <c r="C392" t="s">
        <v>1001</v>
      </c>
      <c r="D392" t="s">
        <v>433</v>
      </c>
      <c r="E392" t="s">
        <v>53</v>
      </c>
      <c r="F392" t="s">
        <v>1002</v>
      </c>
      <c r="G392" t="str">
        <f>"00517715"</f>
        <v>00517715</v>
      </c>
      <c r="H392">
        <v>34</v>
      </c>
      <c r="I392">
        <v>10</v>
      </c>
      <c r="J392">
        <v>8</v>
      </c>
      <c r="M392">
        <v>8</v>
      </c>
      <c r="N392">
        <v>4</v>
      </c>
      <c r="O392">
        <v>2</v>
      </c>
      <c r="P392">
        <v>58</v>
      </c>
      <c r="Q392">
        <v>18</v>
      </c>
      <c r="R392">
        <v>18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18</v>
      </c>
      <c r="Z392">
        <v>9</v>
      </c>
      <c r="AA392">
        <v>26.8</v>
      </c>
      <c r="AC392">
        <v>111.8</v>
      </c>
    </row>
    <row r="393" spans="1:29">
      <c r="A393">
        <v>386</v>
      </c>
      <c r="B393">
        <v>389</v>
      </c>
      <c r="C393" t="s">
        <v>1003</v>
      </c>
      <c r="D393" t="s">
        <v>95</v>
      </c>
      <c r="E393" t="s">
        <v>134</v>
      </c>
      <c r="F393" t="s">
        <v>1004</v>
      </c>
      <c r="G393" t="str">
        <f>"00483244"</f>
        <v>00483244</v>
      </c>
      <c r="H393">
        <v>64.8</v>
      </c>
      <c r="I393">
        <v>0</v>
      </c>
      <c r="K393">
        <v>6</v>
      </c>
      <c r="M393">
        <v>6</v>
      </c>
      <c r="N393">
        <v>4</v>
      </c>
      <c r="O393">
        <v>0</v>
      </c>
      <c r="P393">
        <v>74.8</v>
      </c>
      <c r="Q393">
        <v>37</v>
      </c>
      <c r="R393">
        <v>37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37</v>
      </c>
      <c r="Z393">
        <v>0</v>
      </c>
      <c r="AA393">
        <v>0</v>
      </c>
      <c r="AC393">
        <v>111.8</v>
      </c>
    </row>
    <row r="394" spans="1:29">
      <c r="A394">
        <v>387</v>
      </c>
      <c r="B394">
        <v>3040</v>
      </c>
      <c r="C394" t="s">
        <v>1005</v>
      </c>
      <c r="D394" t="s">
        <v>185</v>
      </c>
      <c r="E394" t="s">
        <v>337</v>
      </c>
      <c r="F394" t="s">
        <v>1006</v>
      </c>
      <c r="G394" t="str">
        <f>"00158899"</f>
        <v>00158899</v>
      </c>
      <c r="H394">
        <v>28.8</v>
      </c>
      <c r="I394">
        <v>10</v>
      </c>
      <c r="L394">
        <v>4</v>
      </c>
      <c r="M394">
        <v>4</v>
      </c>
      <c r="N394">
        <v>4</v>
      </c>
      <c r="O394">
        <v>2</v>
      </c>
      <c r="P394">
        <v>48.8</v>
      </c>
      <c r="Q394">
        <v>63</v>
      </c>
      <c r="R394">
        <v>63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63</v>
      </c>
      <c r="Z394">
        <v>0</v>
      </c>
      <c r="AA394">
        <v>0</v>
      </c>
      <c r="AC394">
        <v>111.8</v>
      </c>
    </row>
    <row r="395" spans="1:29">
      <c r="A395">
        <v>388</v>
      </c>
      <c r="B395">
        <v>695</v>
      </c>
      <c r="C395" t="s">
        <v>1007</v>
      </c>
      <c r="D395" t="s">
        <v>27</v>
      </c>
      <c r="E395" t="s">
        <v>1008</v>
      </c>
      <c r="F395" t="s">
        <v>1009</v>
      </c>
      <c r="G395" t="str">
        <f>"00157821"</f>
        <v>00157821</v>
      </c>
      <c r="H395">
        <v>38.68</v>
      </c>
      <c r="I395">
        <v>10</v>
      </c>
      <c r="L395">
        <v>4</v>
      </c>
      <c r="M395">
        <v>4</v>
      </c>
      <c r="N395">
        <v>4</v>
      </c>
      <c r="O395">
        <v>0</v>
      </c>
      <c r="P395">
        <v>56.68</v>
      </c>
      <c r="Q395">
        <v>55</v>
      </c>
      <c r="R395">
        <v>55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55</v>
      </c>
      <c r="Z395">
        <v>0</v>
      </c>
      <c r="AA395">
        <v>0</v>
      </c>
      <c r="AC395">
        <v>111.68</v>
      </c>
    </row>
    <row r="396" spans="1:29">
      <c r="A396">
        <v>389</v>
      </c>
      <c r="B396">
        <v>3866</v>
      </c>
      <c r="C396" t="s">
        <v>1010</v>
      </c>
      <c r="D396" t="s">
        <v>52</v>
      </c>
      <c r="E396" t="s">
        <v>369</v>
      </c>
      <c r="F396" t="s">
        <v>1011</v>
      </c>
      <c r="G396" t="str">
        <f>"20160706542"</f>
        <v>20160706542</v>
      </c>
      <c r="H396">
        <v>57.6</v>
      </c>
      <c r="I396">
        <v>10</v>
      </c>
      <c r="L396">
        <v>4</v>
      </c>
      <c r="M396">
        <v>4</v>
      </c>
      <c r="N396">
        <v>0</v>
      </c>
      <c r="O396">
        <v>0</v>
      </c>
      <c r="P396">
        <v>71.599999999999994</v>
      </c>
      <c r="Q396">
        <v>37</v>
      </c>
      <c r="R396">
        <v>37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37</v>
      </c>
      <c r="Z396">
        <v>3</v>
      </c>
      <c r="AA396">
        <v>0</v>
      </c>
      <c r="AC396">
        <v>111.6</v>
      </c>
    </row>
    <row r="397" spans="1:29">
      <c r="A397">
        <v>390</v>
      </c>
      <c r="B397">
        <v>4947</v>
      </c>
      <c r="C397" t="s">
        <v>1012</v>
      </c>
      <c r="D397" t="s">
        <v>1013</v>
      </c>
      <c r="E397" t="s">
        <v>79</v>
      </c>
      <c r="F397" t="s">
        <v>1014</v>
      </c>
      <c r="G397" t="str">
        <f>"00530490"</f>
        <v>00530490</v>
      </c>
      <c r="H397">
        <v>37.6</v>
      </c>
      <c r="I397">
        <v>0</v>
      </c>
      <c r="J397">
        <v>8</v>
      </c>
      <c r="K397">
        <v>6</v>
      </c>
      <c r="M397">
        <v>14</v>
      </c>
      <c r="N397">
        <v>4</v>
      </c>
      <c r="O397">
        <v>0</v>
      </c>
      <c r="P397">
        <v>55.6</v>
      </c>
      <c r="Q397">
        <v>56</v>
      </c>
      <c r="R397">
        <v>56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56</v>
      </c>
      <c r="Z397">
        <v>0</v>
      </c>
      <c r="AA397">
        <v>0</v>
      </c>
      <c r="AC397">
        <v>111.6</v>
      </c>
    </row>
    <row r="398" spans="1:29">
      <c r="A398">
        <v>391</v>
      </c>
      <c r="B398">
        <v>1404</v>
      </c>
      <c r="C398" t="s">
        <v>1015</v>
      </c>
      <c r="D398" t="s">
        <v>1016</v>
      </c>
      <c r="E398" t="s">
        <v>1017</v>
      </c>
      <c r="F398" t="s">
        <v>1018</v>
      </c>
      <c r="G398" t="str">
        <f>"00513142"</f>
        <v>00513142</v>
      </c>
      <c r="H398">
        <v>39.6</v>
      </c>
      <c r="I398">
        <v>0</v>
      </c>
      <c r="L398">
        <v>4</v>
      </c>
      <c r="M398">
        <v>4</v>
      </c>
      <c r="N398">
        <v>4</v>
      </c>
      <c r="O398">
        <v>2</v>
      </c>
      <c r="P398">
        <v>49.6</v>
      </c>
      <c r="Q398">
        <v>62</v>
      </c>
      <c r="R398">
        <v>62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62</v>
      </c>
      <c r="Z398">
        <v>0</v>
      </c>
      <c r="AA398">
        <v>0</v>
      </c>
      <c r="AC398">
        <v>111.6</v>
      </c>
    </row>
    <row r="399" spans="1:29">
      <c r="A399">
        <v>392</v>
      </c>
      <c r="B399">
        <v>2867</v>
      </c>
      <c r="C399" t="s">
        <v>1019</v>
      </c>
      <c r="D399" t="s">
        <v>216</v>
      </c>
      <c r="E399" t="s">
        <v>1020</v>
      </c>
      <c r="F399" t="s">
        <v>1021</v>
      </c>
      <c r="G399" t="str">
        <f>"00530403"</f>
        <v>00530403</v>
      </c>
      <c r="H399">
        <v>39.56</v>
      </c>
      <c r="I399">
        <v>0</v>
      </c>
      <c r="M399">
        <v>0</v>
      </c>
      <c r="N399">
        <v>4</v>
      </c>
      <c r="O399">
        <v>0</v>
      </c>
      <c r="P399">
        <v>43.56</v>
      </c>
      <c r="Q399">
        <v>62</v>
      </c>
      <c r="R399">
        <v>62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62</v>
      </c>
      <c r="Z399">
        <v>6</v>
      </c>
      <c r="AA399">
        <v>0</v>
      </c>
      <c r="AC399">
        <v>111.56</v>
      </c>
    </row>
    <row r="400" spans="1:29">
      <c r="A400">
        <v>393</v>
      </c>
      <c r="B400">
        <v>1124</v>
      </c>
      <c r="C400" t="s">
        <v>26</v>
      </c>
      <c r="D400" t="s">
        <v>185</v>
      </c>
      <c r="E400" t="s">
        <v>1022</v>
      </c>
      <c r="F400" t="s">
        <v>1023</v>
      </c>
      <c r="G400" t="str">
        <f>"00476104"</f>
        <v>00476104</v>
      </c>
      <c r="H400">
        <v>50.4</v>
      </c>
      <c r="I400">
        <v>10</v>
      </c>
      <c r="L400">
        <v>8</v>
      </c>
      <c r="M400">
        <v>8</v>
      </c>
      <c r="N400">
        <v>4</v>
      </c>
      <c r="O400">
        <v>2</v>
      </c>
      <c r="P400">
        <v>74.400000000000006</v>
      </c>
      <c r="Q400">
        <v>34</v>
      </c>
      <c r="R400">
        <v>34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34</v>
      </c>
      <c r="Z400">
        <v>3</v>
      </c>
      <c r="AA400">
        <v>0</v>
      </c>
      <c r="AC400">
        <v>111.4</v>
      </c>
    </row>
    <row r="401" spans="1:29">
      <c r="A401">
        <v>394</v>
      </c>
      <c r="B401">
        <v>3256</v>
      </c>
      <c r="C401" t="s">
        <v>1024</v>
      </c>
      <c r="D401" t="s">
        <v>98</v>
      </c>
      <c r="E401" t="s">
        <v>115</v>
      </c>
      <c r="F401" t="s">
        <v>1025</v>
      </c>
      <c r="G401" t="str">
        <f>"00492473"</f>
        <v>00492473</v>
      </c>
      <c r="H401">
        <v>50.4</v>
      </c>
      <c r="I401">
        <v>10</v>
      </c>
      <c r="J401">
        <v>8</v>
      </c>
      <c r="M401">
        <v>8</v>
      </c>
      <c r="N401">
        <v>4</v>
      </c>
      <c r="O401">
        <v>2</v>
      </c>
      <c r="P401">
        <v>74.400000000000006</v>
      </c>
      <c r="Q401">
        <v>37</v>
      </c>
      <c r="R401">
        <v>37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37</v>
      </c>
      <c r="Z401">
        <v>0</v>
      </c>
      <c r="AA401">
        <v>0</v>
      </c>
      <c r="AC401">
        <v>111.4</v>
      </c>
    </row>
    <row r="402" spans="1:29">
      <c r="A402">
        <v>395</v>
      </c>
      <c r="B402">
        <v>4125</v>
      </c>
      <c r="C402" t="s">
        <v>1026</v>
      </c>
      <c r="D402" t="s">
        <v>52</v>
      </c>
      <c r="E402" t="s">
        <v>18</v>
      </c>
      <c r="F402" t="s">
        <v>1027</v>
      </c>
      <c r="G402" t="str">
        <f>"00509943"</f>
        <v>00509943</v>
      </c>
      <c r="H402">
        <v>50.4</v>
      </c>
      <c r="I402">
        <v>0</v>
      </c>
      <c r="J402">
        <v>8</v>
      </c>
      <c r="M402">
        <v>8</v>
      </c>
      <c r="N402">
        <v>4</v>
      </c>
      <c r="O402">
        <v>2</v>
      </c>
      <c r="P402">
        <v>64.400000000000006</v>
      </c>
      <c r="Q402">
        <v>47</v>
      </c>
      <c r="R402">
        <v>47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47</v>
      </c>
      <c r="Z402">
        <v>0</v>
      </c>
      <c r="AA402">
        <v>0</v>
      </c>
      <c r="AC402">
        <v>111.4</v>
      </c>
    </row>
    <row r="403" spans="1:29">
      <c r="A403">
        <v>396</v>
      </c>
      <c r="B403">
        <v>601</v>
      </c>
      <c r="C403" t="s">
        <v>1028</v>
      </c>
      <c r="D403" t="s">
        <v>28</v>
      </c>
      <c r="E403" t="s">
        <v>18</v>
      </c>
      <c r="F403" t="s">
        <v>1029</v>
      </c>
      <c r="G403" t="str">
        <f>"00162236"</f>
        <v>00162236</v>
      </c>
      <c r="H403">
        <v>50.4</v>
      </c>
      <c r="I403">
        <v>0</v>
      </c>
      <c r="M403">
        <v>0</v>
      </c>
      <c r="N403">
        <v>4</v>
      </c>
      <c r="O403">
        <v>2</v>
      </c>
      <c r="P403">
        <v>56.4</v>
      </c>
      <c r="Q403">
        <v>55</v>
      </c>
      <c r="R403">
        <v>55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55</v>
      </c>
      <c r="Z403">
        <v>0</v>
      </c>
      <c r="AA403">
        <v>0</v>
      </c>
      <c r="AC403">
        <v>111.4</v>
      </c>
    </row>
    <row r="404" spans="1:29">
      <c r="A404">
        <v>397</v>
      </c>
      <c r="B404">
        <v>4080</v>
      </c>
      <c r="C404" t="s">
        <v>1030</v>
      </c>
      <c r="D404" t="s">
        <v>251</v>
      </c>
      <c r="E404" t="s">
        <v>156</v>
      </c>
      <c r="F404" t="s">
        <v>1031</v>
      </c>
      <c r="G404" t="str">
        <f>"00503932"</f>
        <v>00503932</v>
      </c>
      <c r="H404">
        <v>33.32</v>
      </c>
      <c r="I404">
        <v>0</v>
      </c>
      <c r="L404">
        <v>4</v>
      </c>
      <c r="M404">
        <v>4</v>
      </c>
      <c r="N404">
        <v>4</v>
      </c>
      <c r="O404">
        <v>2</v>
      </c>
      <c r="P404">
        <v>43.32</v>
      </c>
      <c r="Q404">
        <v>59</v>
      </c>
      <c r="R404">
        <v>59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59</v>
      </c>
      <c r="Z404">
        <v>9</v>
      </c>
      <c r="AA404">
        <v>0</v>
      </c>
      <c r="AC404">
        <v>111.32</v>
      </c>
    </row>
    <row r="405" spans="1:29">
      <c r="A405">
        <v>398</v>
      </c>
      <c r="B405">
        <v>2046</v>
      </c>
      <c r="C405" t="s">
        <v>1032</v>
      </c>
      <c r="D405" t="s">
        <v>27</v>
      </c>
      <c r="E405" t="s">
        <v>60</v>
      </c>
      <c r="F405" t="s">
        <v>1033</v>
      </c>
      <c r="G405" t="str">
        <f>"00148201"</f>
        <v>00148201</v>
      </c>
      <c r="H405">
        <v>14.2</v>
      </c>
      <c r="I405">
        <v>0</v>
      </c>
      <c r="M405">
        <v>0</v>
      </c>
      <c r="N405">
        <v>4</v>
      </c>
      <c r="O405">
        <v>2</v>
      </c>
      <c r="P405">
        <v>20.2</v>
      </c>
      <c r="Q405">
        <v>65</v>
      </c>
      <c r="R405">
        <v>65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65</v>
      </c>
      <c r="Z405">
        <v>6</v>
      </c>
      <c r="AA405">
        <v>20</v>
      </c>
      <c r="AC405">
        <v>111.2</v>
      </c>
    </row>
    <row r="406" spans="1:29">
      <c r="A406">
        <v>399</v>
      </c>
      <c r="B406">
        <v>1325</v>
      </c>
      <c r="C406" t="s">
        <v>1034</v>
      </c>
      <c r="D406" t="s">
        <v>258</v>
      </c>
      <c r="E406" t="s">
        <v>967</v>
      </c>
      <c r="F406" t="s">
        <v>1035</v>
      </c>
      <c r="G406" t="str">
        <f>"201509000128"</f>
        <v>201509000128</v>
      </c>
      <c r="H406">
        <v>39.200000000000003</v>
      </c>
      <c r="I406">
        <v>10</v>
      </c>
      <c r="L406">
        <v>4</v>
      </c>
      <c r="M406">
        <v>4</v>
      </c>
      <c r="N406">
        <v>4</v>
      </c>
      <c r="O406">
        <v>0</v>
      </c>
      <c r="P406">
        <v>57.2</v>
      </c>
      <c r="Q406">
        <v>48</v>
      </c>
      <c r="R406">
        <v>48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48</v>
      </c>
      <c r="Z406">
        <v>6</v>
      </c>
      <c r="AA406">
        <v>0</v>
      </c>
      <c r="AC406">
        <v>111.2</v>
      </c>
    </row>
    <row r="407" spans="1:29">
      <c r="A407">
        <v>400</v>
      </c>
      <c r="B407">
        <v>2232</v>
      </c>
      <c r="C407" t="s">
        <v>1036</v>
      </c>
      <c r="D407" t="s">
        <v>159</v>
      </c>
      <c r="E407" t="s">
        <v>15</v>
      </c>
      <c r="F407" t="s">
        <v>1037</v>
      </c>
      <c r="G407" t="str">
        <f>"00174004"</f>
        <v>00174004</v>
      </c>
      <c r="H407">
        <v>37.08</v>
      </c>
      <c r="I407">
        <v>0</v>
      </c>
      <c r="J407">
        <v>8</v>
      </c>
      <c r="M407">
        <v>8</v>
      </c>
      <c r="N407">
        <v>4</v>
      </c>
      <c r="O407">
        <v>0</v>
      </c>
      <c r="P407">
        <v>49.08</v>
      </c>
      <c r="Q407">
        <v>53</v>
      </c>
      <c r="R407">
        <v>53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53</v>
      </c>
      <c r="Z407">
        <v>9</v>
      </c>
      <c r="AA407">
        <v>0</v>
      </c>
      <c r="AC407">
        <v>111.08</v>
      </c>
    </row>
    <row r="408" spans="1:29">
      <c r="A408">
        <v>401</v>
      </c>
      <c r="B408">
        <v>1896</v>
      </c>
      <c r="C408" t="s">
        <v>178</v>
      </c>
      <c r="D408" t="s">
        <v>694</v>
      </c>
      <c r="E408" t="s">
        <v>340</v>
      </c>
      <c r="F408" t="s">
        <v>1038</v>
      </c>
      <c r="G408" t="str">
        <f>"00515110"</f>
        <v>00515110</v>
      </c>
      <c r="H408">
        <v>36</v>
      </c>
      <c r="I408">
        <v>10</v>
      </c>
      <c r="M408">
        <v>0</v>
      </c>
      <c r="N408">
        <v>4</v>
      </c>
      <c r="O408">
        <v>0</v>
      </c>
      <c r="P408">
        <v>50</v>
      </c>
      <c r="Q408">
        <v>61</v>
      </c>
      <c r="R408">
        <v>61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61</v>
      </c>
      <c r="Z408">
        <v>0</v>
      </c>
      <c r="AA408">
        <v>0</v>
      </c>
      <c r="AC408">
        <v>111</v>
      </c>
    </row>
    <row r="409" spans="1:29">
      <c r="A409">
        <v>402</v>
      </c>
      <c r="B409">
        <v>185</v>
      </c>
      <c r="C409" t="s">
        <v>1039</v>
      </c>
      <c r="D409" t="s">
        <v>52</v>
      </c>
      <c r="E409" t="s">
        <v>79</v>
      </c>
      <c r="F409" t="s">
        <v>1040</v>
      </c>
      <c r="G409" t="str">
        <f>"00482169"</f>
        <v>00482169</v>
      </c>
      <c r="H409">
        <v>36</v>
      </c>
      <c r="I409">
        <v>0</v>
      </c>
      <c r="M409">
        <v>0</v>
      </c>
      <c r="N409">
        <v>0</v>
      </c>
      <c r="O409">
        <v>0</v>
      </c>
      <c r="P409">
        <v>36</v>
      </c>
      <c r="Q409">
        <v>75</v>
      </c>
      <c r="R409">
        <v>75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75</v>
      </c>
      <c r="Z409">
        <v>0</v>
      </c>
      <c r="AA409">
        <v>0</v>
      </c>
      <c r="AC409">
        <v>111</v>
      </c>
    </row>
    <row r="410" spans="1:29">
      <c r="A410">
        <v>403</v>
      </c>
      <c r="B410">
        <v>3683</v>
      </c>
      <c r="C410" t="s">
        <v>543</v>
      </c>
      <c r="D410" t="s">
        <v>1041</v>
      </c>
      <c r="E410" t="s">
        <v>66</v>
      </c>
      <c r="F410" t="s">
        <v>1042</v>
      </c>
      <c r="G410" t="str">
        <f>"00532151"</f>
        <v>00532151</v>
      </c>
      <c r="H410">
        <v>36.840000000000003</v>
      </c>
      <c r="I410">
        <v>10</v>
      </c>
      <c r="M410">
        <v>0</v>
      </c>
      <c r="N410">
        <v>0</v>
      </c>
      <c r="O410">
        <v>2</v>
      </c>
      <c r="P410">
        <v>48.84</v>
      </c>
      <c r="Q410">
        <v>33</v>
      </c>
      <c r="R410">
        <v>33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33</v>
      </c>
      <c r="Z410">
        <v>9</v>
      </c>
      <c r="AA410">
        <v>20</v>
      </c>
      <c r="AC410">
        <v>110.84</v>
      </c>
    </row>
    <row r="411" spans="1:29">
      <c r="A411">
        <v>404</v>
      </c>
      <c r="B411">
        <v>2333</v>
      </c>
      <c r="C411" t="s">
        <v>1043</v>
      </c>
      <c r="D411" t="s">
        <v>20</v>
      </c>
      <c r="E411" t="s">
        <v>187</v>
      </c>
      <c r="F411" t="s">
        <v>1044</v>
      </c>
      <c r="G411" t="str">
        <f>"00266529"</f>
        <v>00266529</v>
      </c>
      <c r="H411">
        <v>64.8</v>
      </c>
      <c r="I411">
        <v>0</v>
      </c>
      <c r="M411">
        <v>0</v>
      </c>
      <c r="N411">
        <v>4</v>
      </c>
      <c r="O411">
        <v>2</v>
      </c>
      <c r="P411">
        <v>70.8</v>
      </c>
      <c r="Q411">
        <v>37</v>
      </c>
      <c r="R411">
        <v>37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37</v>
      </c>
      <c r="Z411">
        <v>3</v>
      </c>
      <c r="AA411">
        <v>0</v>
      </c>
      <c r="AC411">
        <v>110.8</v>
      </c>
    </row>
    <row r="412" spans="1:29">
      <c r="A412">
        <v>405</v>
      </c>
      <c r="B412">
        <v>2130</v>
      </c>
      <c r="C412" t="s">
        <v>800</v>
      </c>
      <c r="D412" t="s">
        <v>279</v>
      </c>
      <c r="E412" t="s">
        <v>165</v>
      </c>
      <c r="F412" t="s">
        <v>1045</v>
      </c>
      <c r="G412" t="str">
        <f>"00153587"</f>
        <v>00153587</v>
      </c>
      <c r="H412">
        <v>28.8</v>
      </c>
      <c r="I412">
        <v>0</v>
      </c>
      <c r="L412">
        <v>4</v>
      </c>
      <c r="M412">
        <v>4</v>
      </c>
      <c r="N412">
        <v>4</v>
      </c>
      <c r="O412">
        <v>2</v>
      </c>
      <c r="P412">
        <v>38.799999999999997</v>
      </c>
      <c r="Q412">
        <v>72</v>
      </c>
      <c r="R412">
        <v>72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72</v>
      </c>
      <c r="Z412">
        <v>0</v>
      </c>
      <c r="AA412">
        <v>0</v>
      </c>
      <c r="AC412">
        <v>110.8</v>
      </c>
    </row>
    <row r="413" spans="1:29">
      <c r="A413">
        <v>406</v>
      </c>
      <c r="B413">
        <v>4753</v>
      </c>
      <c r="C413" t="s">
        <v>1046</v>
      </c>
      <c r="D413" t="s">
        <v>15</v>
      </c>
      <c r="E413" t="s">
        <v>134</v>
      </c>
      <c r="F413" t="s">
        <v>1047</v>
      </c>
      <c r="G413" t="str">
        <f>"00530591"</f>
        <v>00530591</v>
      </c>
      <c r="H413">
        <v>13.76</v>
      </c>
      <c r="I413">
        <v>10</v>
      </c>
      <c r="M413">
        <v>0</v>
      </c>
      <c r="N413">
        <v>0</v>
      </c>
      <c r="O413">
        <v>0</v>
      </c>
      <c r="P413">
        <v>23.76</v>
      </c>
      <c r="Q413">
        <v>87</v>
      </c>
      <c r="R413">
        <v>87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87</v>
      </c>
      <c r="Z413">
        <v>0</v>
      </c>
      <c r="AA413">
        <v>0</v>
      </c>
      <c r="AC413">
        <v>110.76</v>
      </c>
    </row>
    <row r="414" spans="1:29">
      <c r="A414">
        <v>407</v>
      </c>
      <c r="B414">
        <v>2816</v>
      </c>
      <c r="C414" t="s">
        <v>1048</v>
      </c>
      <c r="D414" t="s">
        <v>349</v>
      </c>
      <c r="E414" t="s">
        <v>252</v>
      </c>
      <c r="F414" t="s">
        <v>1049</v>
      </c>
      <c r="G414" t="str">
        <f>"00482279"</f>
        <v>00482279</v>
      </c>
      <c r="H414">
        <v>21.6</v>
      </c>
      <c r="I414">
        <v>0</v>
      </c>
      <c r="L414">
        <v>4</v>
      </c>
      <c r="M414">
        <v>4</v>
      </c>
      <c r="N414">
        <v>4</v>
      </c>
      <c r="O414">
        <v>2</v>
      </c>
      <c r="P414">
        <v>31.6</v>
      </c>
      <c r="Q414">
        <v>70</v>
      </c>
      <c r="R414">
        <v>70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70</v>
      </c>
      <c r="Z414">
        <v>9</v>
      </c>
      <c r="AA414">
        <v>0</v>
      </c>
      <c r="AC414">
        <v>110.6</v>
      </c>
    </row>
    <row r="415" spans="1:29">
      <c r="A415">
        <v>408</v>
      </c>
      <c r="B415">
        <v>2078</v>
      </c>
      <c r="C415" t="s">
        <v>1050</v>
      </c>
      <c r="D415" t="s">
        <v>1051</v>
      </c>
      <c r="E415" t="s">
        <v>18</v>
      </c>
      <c r="F415" t="s">
        <v>1052</v>
      </c>
      <c r="G415" t="str">
        <f>"00530372"</f>
        <v>00530372</v>
      </c>
      <c r="H415">
        <v>57.6</v>
      </c>
      <c r="I415">
        <v>0</v>
      </c>
      <c r="J415">
        <v>8</v>
      </c>
      <c r="M415">
        <v>8</v>
      </c>
      <c r="N415">
        <v>4</v>
      </c>
      <c r="O415">
        <v>0</v>
      </c>
      <c r="P415">
        <v>69.599999999999994</v>
      </c>
      <c r="Q415">
        <v>38</v>
      </c>
      <c r="R415">
        <v>38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38</v>
      </c>
      <c r="Z415">
        <v>3</v>
      </c>
      <c r="AA415">
        <v>0</v>
      </c>
      <c r="AC415">
        <v>110.6</v>
      </c>
    </row>
    <row r="416" spans="1:29">
      <c r="A416">
        <v>409</v>
      </c>
      <c r="B416">
        <v>1776</v>
      </c>
      <c r="C416" t="s">
        <v>1053</v>
      </c>
      <c r="D416" t="s">
        <v>1054</v>
      </c>
      <c r="E416" t="s">
        <v>15</v>
      </c>
      <c r="F416" t="s">
        <v>1055</v>
      </c>
      <c r="G416" t="str">
        <f>"00511079"</f>
        <v>00511079</v>
      </c>
      <c r="H416">
        <v>28.56</v>
      </c>
      <c r="I416">
        <v>10</v>
      </c>
      <c r="L416">
        <v>4</v>
      </c>
      <c r="M416">
        <v>4</v>
      </c>
      <c r="N416">
        <v>4</v>
      </c>
      <c r="O416">
        <v>2</v>
      </c>
      <c r="P416">
        <v>48.56</v>
      </c>
      <c r="Q416">
        <v>62</v>
      </c>
      <c r="R416">
        <v>62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62</v>
      </c>
      <c r="Z416">
        <v>0</v>
      </c>
      <c r="AA416">
        <v>0</v>
      </c>
      <c r="AC416">
        <v>110.56</v>
      </c>
    </row>
    <row r="417" spans="1:29">
      <c r="A417">
        <v>410</v>
      </c>
      <c r="B417">
        <v>294</v>
      </c>
      <c r="C417" t="s">
        <v>1056</v>
      </c>
      <c r="D417" t="s">
        <v>159</v>
      </c>
      <c r="E417" t="s">
        <v>28</v>
      </c>
      <c r="F417" t="s">
        <v>1057</v>
      </c>
      <c r="G417" t="str">
        <f>"00528716"</f>
        <v>00528716</v>
      </c>
      <c r="H417">
        <v>23.44</v>
      </c>
      <c r="I417">
        <v>0</v>
      </c>
      <c r="L417">
        <v>4</v>
      </c>
      <c r="M417">
        <v>4</v>
      </c>
      <c r="N417">
        <v>4</v>
      </c>
      <c r="O417">
        <v>2</v>
      </c>
      <c r="P417">
        <v>33.44</v>
      </c>
      <c r="Q417">
        <v>74</v>
      </c>
      <c r="R417">
        <v>74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74</v>
      </c>
      <c r="Z417">
        <v>3</v>
      </c>
      <c r="AA417">
        <v>0</v>
      </c>
      <c r="AC417">
        <v>110.44</v>
      </c>
    </row>
    <row r="418" spans="1:29">
      <c r="A418">
        <v>411</v>
      </c>
      <c r="B418">
        <v>2650</v>
      </c>
      <c r="C418" t="s">
        <v>1058</v>
      </c>
      <c r="D418" t="s">
        <v>544</v>
      </c>
      <c r="E418" t="s">
        <v>889</v>
      </c>
      <c r="F418" t="s">
        <v>1059</v>
      </c>
      <c r="G418" t="str">
        <f>"00196478"</f>
        <v>00196478</v>
      </c>
      <c r="H418">
        <v>50.4</v>
      </c>
      <c r="I418">
        <v>10</v>
      </c>
      <c r="J418">
        <v>8</v>
      </c>
      <c r="M418">
        <v>8</v>
      </c>
      <c r="N418">
        <v>4</v>
      </c>
      <c r="O418">
        <v>2</v>
      </c>
      <c r="P418">
        <v>74.400000000000006</v>
      </c>
      <c r="Q418">
        <v>30</v>
      </c>
      <c r="R418">
        <v>30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30</v>
      </c>
      <c r="Z418">
        <v>6</v>
      </c>
      <c r="AA418">
        <v>0</v>
      </c>
      <c r="AC418">
        <v>110.4</v>
      </c>
    </row>
    <row r="419" spans="1:29">
      <c r="A419">
        <v>412</v>
      </c>
      <c r="B419">
        <v>200</v>
      </c>
      <c r="C419" t="s">
        <v>1060</v>
      </c>
      <c r="D419" t="s">
        <v>1061</v>
      </c>
      <c r="E419" t="s">
        <v>50</v>
      </c>
      <c r="F419" t="s">
        <v>1062</v>
      </c>
      <c r="G419" t="str">
        <f>"00514887"</f>
        <v>00514887</v>
      </c>
      <c r="H419">
        <v>50.4</v>
      </c>
      <c r="I419">
        <v>0</v>
      </c>
      <c r="L419">
        <v>4</v>
      </c>
      <c r="M419">
        <v>4</v>
      </c>
      <c r="N419">
        <v>4</v>
      </c>
      <c r="O419">
        <v>2</v>
      </c>
      <c r="P419">
        <v>60.4</v>
      </c>
      <c r="Q419">
        <v>47</v>
      </c>
      <c r="R419">
        <v>47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47</v>
      </c>
      <c r="Z419">
        <v>3</v>
      </c>
      <c r="AA419">
        <v>0</v>
      </c>
      <c r="AC419">
        <v>110.4</v>
      </c>
    </row>
    <row r="420" spans="1:29">
      <c r="A420">
        <v>413</v>
      </c>
      <c r="B420">
        <v>1458</v>
      </c>
      <c r="C420" t="s">
        <v>1063</v>
      </c>
      <c r="D420" t="s">
        <v>185</v>
      </c>
      <c r="E420" t="s">
        <v>36</v>
      </c>
      <c r="F420" t="s">
        <v>1064</v>
      </c>
      <c r="G420" t="str">
        <f>"00500568"</f>
        <v>00500568</v>
      </c>
      <c r="H420">
        <v>50.4</v>
      </c>
      <c r="I420">
        <v>0</v>
      </c>
      <c r="M420">
        <v>0</v>
      </c>
      <c r="N420">
        <v>4</v>
      </c>
      <c r="O420">
        <v>0</v>
      </c>
      <c r="P420">
        <v>54.4</v>
      </c>
      <c r="Q420">
        <v>53</v>
      </c>
      <c r="R420">
        <v>53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53</v>
      </c>
      <c r="Z420">
        <v>3</v>
      </c>
      <c r="AA420">
        <v>0</v>
      </c>
      <c r="AC420">
        <v>110.4</v>
      </c>
    </row>
    <row r="421" spans="1:29">
      <c r="A421">
        <v>414</v>
      </c>
      <c r="B421">
        <v>1453</v>
      </c>
      <c r="C421" t="s">
        <v>1065</v>
      </c>
      <c r="D421" t="s">
        <v>31</v>
      </c>
      <c r="E421" t="s">
        <v>134</v>
      </c>
      <c r="F421" t="s">
        <v>1066</v>
      </c>
      <c r="G421" t="str">
        <f>"00494455"</f>
        <v>00494455</v>
      </c>
      <c r="H421">
        <v>14.4</v>
      </c>
      <c r="I421">
        <v>0</v>
      </c>
      <c r="M421">
        <v>0</v>
      </c>
      <c r="N421">
        <v>4</v>
      </c>
      <c r="O421">
        <v>2</v>
      </c>
      <c r="P421">
        <v>20.399999999999999</v>
      </c>
      <c r="Q421">
        <v>87</v>
      </c>
      <c r="R421">
        <v>87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87</v>
      </c>
      <c r="Z421">
        <v>3</v>
      </c>
      <c r="AA421">
        <v>0</v>
      </c>
      <c r="AC421">
        <v>110.4</v>
      </c>
    </row>
    <row r="422" spans="1:29">
      <c r="A422">
        <v>415</v>
      </c>
      <c r="B422">
        <v>605</v>
      </c>
      <c r="C422" t="s">
        <v>1070</v>
      </c>
      <c r="D422" t="s">
        <v>205</v>
      </c>
      <c r="E422" t="s">
        <v>134</v>
      </c>
      <c r="F422" t="s">
        <v>1071</v>
      </c>
      <c r="G422" t="str">
        <f>"201511030751"</f>
        <v>201511030751</v>
      </c>
      <c r="H422">
        <v>50.4</v>
      </c>
      <c r="I422">
        <v>10</v>
      </c>
      <c r="J422">
        <v>8</v>
      </c>
      <c r="M422">
        <v>8</v>
      </c>
      <c r="N422">
        <v>4</v>
      </c>
      <c r="O422">
        <v>2</v>
      </c>
      <c r="P422">
        <v>74.400000000000006</v>
      </c>
      <c r="Q422">
        <v>36</v>
      </c>
      <c r="R422">
        <v>36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36</v>
      </c>
      <c r="Z422">
        <v>0</v>
      </c>
      <c r="AA422">
        <v>0</v>
      </c>
      <c r="AC422">
        <v>110.4</v>
      </c>
    </row>
    <row r="423" spans="1:29">
      <c r="A423">
        <v>416</v>
      </c>
      <c r="B423">
        <v>2777</v>
      </c>
      <c r="C423" t="s">
        <v>1067</v>
      </c>
      <c r="D423" t="s">
        <v>27</v>
      </c>
      <c r="E423" t="s">
        <v>1068</v>
      </c>
      <c r="F423" t="s">
        <v>1069</v>
      </c>
      <c r="G423" t="str">
        <f>"201402005152"</f>
        <v>201402005152</v>
      </c>
      <c r="H423">
        <v>50.4</v>
      </c>
      <c r="I423">
        <v>10</v>
      </c>
      <c r="J423">
        <v>8</v>
      </c>
      <c r="M423">
        <v>8</v>
      </c>
      <c r="N423">
        <v>4</v>
      </c>
      <c r="O423">
        <v>2</v>
      </c>
      <c r="P423">
        <v>74.400000000000006</v>
      </c>
      <c r="Q423">
        <v>36</v>
      </c>
      <c r="R423">
        <v>36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36</v>
      </c>
      <c r="Z423">
        <v>0</v>
      </c>
      <c r="AA423">
        <v>0</v>
      </c>
      <c r="AC423">
        <v>110.4</v>
      </c>
    </row>
    <row r="424" spans="1:29">
      <c r="A424">
        <v>417</v>
      </c>
      <c r="B424">
        <v>4313</v>
      </c>
      <c r="C424" t="s">
        <v>1072</v>
      </c>
      <c r="D424" t="s">
        <v>1073</v>
      </c>
      <c r="E424" t="s">
        <v>1074</v>
      </c>
      <c r="F424" t="s">
        <v>1075</v>
      </c>
      <c r="G424" t="str">
        <f>"00531602"</f>
        <v>00531602</v>
      </c>
      <c r="H424">
        <v>50.4</v>
      </c>
      <c r="I424">
        <v>0</v>
      </c>
      <c r="M424">
        <v>0</v>
      </c>
      <c r="N424">
        <v>4</v>
      </c>
      <c r="O424">
        <v>2</v>
      </c>
      <c r="P424">
        <v>56.4</v>
      </c>
      <c r="Q424">
        <v>54</v>
      </c>
      <c r="R424">
        <v>54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54</v>
      </c>
      <c r="Z424">
        <v>0</v>
      </c>
      <c r="AA424">
        <v>0</v>
      </c>
      <c r="AC424">
        <v>110.4</v>
      </c>
    </row>
    <row r="425" spans="1:29">
      <c r="A425">
        <v>418</v>
      </c>
      <c r="B425">
        <v>2517</v>
      </c>
      <c r="C425" t="s">
        <v>1076</v>
      </c>
      <c r="D425" t="s">
        <v>20</v>
      </c>
      <c r="E425" t="s">
        <v>66</v>
      </c>
      <c r="F425" t="s">
        <v>1077</v>
      </c>
      <c r="G425" t="str">
        <f>"201604000323"</f>
        <v>201604000323</v>
      </c>
      <c r="H425">
        <v>24.32</v>
      </c>
      <c r="I425">
        <v>10</v>
      </c>
      <c r="J425">
        <v>8</v>
      </c>
      <c r="M425">
        <v>8</v>
      </c>
      <c r="N425">
        <v>4</v>
      </c>
      <c r="O425">
        <v>2</v>
      </c>
      <c r="P425">
        <v>48.32</v>
      </c>
      <c r="Q425">
        <v>17</v>
      </c>
      <c r="R425">
        <v>17</v>
      </c>
      <c r="S425">
        <v>18</v>
      </c>
      <c r="T425">
        <v>36</v>
      </c>
      <c r="U425">
        <v>0</v>
      </c>
      <c r="V425">
        <v>0</v>
      </c>
      <c r="W425">
        <v>0</v>
      </c>
      <c r="X425">
        <v>0</v>
      </c>
      <c r="Y425">
        <v>53</v>
      </c>
      <c r="Z425">
        <v>9</v>
      </c>
      <c r="AA425">
        <v>0</v>
      </c>
      <c r="AC425">
        <v>110.32</v>
      </c>
    </row>
    <row r="426" spans="1:29">
      <c r="A426">
        <v>419</v>
      </c>
      <c r="B426">
        <v>2041</v>
      </c>
      <c r="C426" t="s">
        <v>1078</v>
      </c>
      <c r="D426" t="s">
        <v>1079</v>
      </c>
      <c r="E426" t="s">
        <v>18</v>
      </c>
      <c r="F426" t="s">
        <v>1080</v>
      </c>
      <c r="G426" t="str">
        <f>"00511638"</f>
        <v>00511638</v>
      </c>
      <c r="H426">
        <v>43.2</v>
      </c>
      <c r="I426">
        <v>0</v>
      </c>
      <c r="M426">
        <v>0</v>
      </c>
      <c r="N426">
        <v>4</v>
      </c>
      <c r="O426">
        <v>2</v>
      </c>
      <c r="P426">
        <v>49.2</v>
      </c>
      <c r="Q426">
        <v>61</v>
      </c>
      <c r="R426">
        <v>61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61</v>
      </c>
      <c r="Z426">
        <v>0</v>
      </c>
      <c r="AA426">
        <v>0</v>
      </c>
      <c r="AC426">
        <v>110.2</v>
      </c>
    </row>
    <row r="427" spans="1:29">
      <c r="A427">
        <v>420</v>
      </c>
      <c r="B427">
        <v>927</v>
      </c>
      <c r="C427" t="s">
        <v>1081</v>
      </c>
      <c r="D427" t="s">
        <v>1082</v>
      </c>
      <c r="E427" t="s">
        <v>156</v>
      </c>
      <c r="F427" t="s">
        <v>1083</v>
      </c>
      <c r="G427" t="str">
        <f>"00514098"</f>
        <v>00514098</v>
      </c>
      <c r="H427">
        <v>72</v>
      </c>
      <c r="I427">
        <v>0</v>
      </c>
      <c r="L427">
        <v>4</v>
      </c>
      <c r="M427">
        <v>4</v>
      </c>
      <c r="N427">
        <v>4</v>
      </c>
      <c r="O427">
        <v>2</v>
      </c>
      <c r="P427">
        <v>82</v>
      </c>
      <c r="Q427">
        <v>28</v>
      </c>
      <c r="R427">
        <v>28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28</v>
      </c>
      <c r="Z427">
        <v>0</v>
      </c>
      <c r="AA427">
        <v>0</v>
      </c>
      <c r="AC427">
        <v>110</v>
      </c>
    </row>
    <row r="428" spans="1:29">
      <c r="A428">
        <v>421</v>
      </c>
      <c r="B428">
        <v>1429</v>
      </c>
      <c r="C428" t="s">
        <v>1084</v>
      </c>
      <c r="D428" t="s">
        <v>588</v>
      </c>
      <c r="E428" t="s">
        <v>15</v>
      </c>
      <c r="F428" t="s">
        <v>1085</v>
      </c>
      <c r="G428" t="str">
        <f>"00517180"</f>
        <v>00517180</v>
      </c>
      <c r="H428">
        <v>36</v>
      </c>
      <c r="I428">
        <v>10</v>
      </c>
      <c r="J428">
        <v>8</v>
      </c>
      <c r="M428">
        <v>8</v>
      </c>
      <c r="N428">
        <v>0</v>
      </c>
      <c r="O428">
        <v>2</v>
      </c>
      <c r="P428">
        <v>56</v>
      </c>
      <c r="Q428">
        <v>54</v>
      </c>
      <c r="R428">
        <v>54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54</v>
      </c>
      <c r="Z428">
        <v>0</v>
      </c>
      <c r="AA428">
        <v>0</v>
      </c>
      <c r="AC428">
        <v>110</v>
      </c>
    </row>
    <row r="429" spans="1:29">
      <c r="A429">
        <v>422</v>
      </c>
      <c r="B429">
        <v>2982</v>
      </c>
      <c r="C429" t="s">
        <v>1086</v>
      </c>
      <c r="D429" t="s">
        <v>1087</v>
      </c>
      <c r="E429" t="s">
        <v>1088</v>
      </c>
      <c r="F429" t="s">
        <v>1089</v>
      </c>
      <c r="G429" t="str">
        <f>"00442331"</f>
        <v>00442331</v>
      </c>
      <c r="H429">
        <v>36</v>
      </c>
      <c r="I429">
        <v>0</v>
      </c>
      <c r="L429">
        <v>4</v>
      </c>
      <c r="M429">
        <v>4</v>
      </c>
      <c r="N429">
        <v>4</v>
      </c>
      <c r="O429">
        <v>2</v>
      </c>
      <c r="P429">
        <v>46</v>
      </c>
      <c r="Q429">
        <v>64</v>
      </c>
      <c r="R429">
        <v>64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64</v>
      </c>
      <c r="Z429">
        <v>0</v>
      </c>
      <c r="AA429">
        <v>0</v>
      </c>
      <c r="AC429">
        <v>110</v>
      </c>
    </row>
    <row r="430" spans="1:29">
      <c r="A430">
        <v>423</v>
      </c>
      <c r="B430">
        <v>3298</v>
      </c>
      <c r="C430" t="s">
        <v>1090</v>
      </c>
      <c r="D430" t="s">
        <v>1091</v>
      </c>
      <c r="E430" t="s">
        <v>227</v>
      </c>
      <c r="F430" t="s">
        <v>1092</v>
      </c>
      <c r="G430" t="str">
        <f>"00513315"</f>
        <v>00513315</v>
      </c>
      <c r="H430">
        <v>38.92</v>
      </c>
      <c r="I430">
        <v>10</v>
      </c>
      <c r="L430">
        <v>4</v>
      </c>
      <c r="M430">
        <v>4</v>
      </c>
      <c r="N430">
        <v>4</v>
      </c>
      <c r="O430">
        <v>2</v>
      </c>
      <c r="P430">
        <v>58.92</v>
      </c>
      <c r="Q430">
        <v>12</v>
      </c>
      <c r="R430">
        <v>12</v>
      </c>
      <c r="S430">
        <v>18</v>
      </c>
      <c r="T430">
        <v>36</v>
      </c>
      <c r="U430">
        <v>0</v>
      </c>
      <c r="V430">
        <v>0</v>
      </c>
      <c r="W430">
        <v>0</v>
      </c>
      <c r="X430">
        <v>0</v>
      </c>
      <c r="Y430">
        <v>48</v>
      </c>
      <c r="Z430">
        <v>3</v>
      </c>
      <c r="AA430">
        <v>0</v>
      </c>
      <c r="AC430">
        <v>109.92</v>
      </c>
    </row>
    <row r="431" spans="1:29">
      <c r="A431">
        <v>424</v>
      </c>
      <c r="B431">
        <v>4783</v>
      </c>
      <c r="C431" t="s">
        <v>1093</v>
      </c>
      <c r="D431" t="s">
        <v>569</v>
      </c>
      <c r="E431" t="s">
        <v>28</v>
      </c>
      <c r="F431" t="s">
        <v>1094</v>
      </c>
      <c r="G431" t="str">
        <f>"00522301"</f>
        <v>00522301</v>
      </c>
      <c r="H431">
        <v>13.08</v>
      </c>
      <c r="I431">
        <v>0</v>
      </c>
      <c r="K431">
        <v>6</v>
      </c>
      <c r="M431">
        <v>6</v>
      </c>
      <c r="N431">
        <v>4</v>
      </c>
      <c r="O431">
        <v>2</v>
      </c>
      <c r="P431">
        <v>25.08</v>
      </c>
      <c r="Q431">
        <v>58</v>
      </c>
      <c r="R431">
        <v>58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58</v>
      </c>
      <c r="Z431">
        <v>0</v>
      </c>
      <c r="AA431">
        <v>26.8</v>
      </c>
      <c r="AC431">
        <v>109.88</v>
      </c>
    </row>
    <row r="432" spans="1:29">
      <c r="A432">
        <v>425</v>
      </c>
      <c r="B432">
        <v>3199</v>
      </c>
      <c r="C432" t="s">
        <v>1095</v>
      </c>
      <c r="D432" t="s">
        <v>52</v>
      </c>
      <c r="E432" t="s">
        <v>28</v>
      </c>
      <c r="F432" t="s">
        <v>1096</v>
      </c>
      <c r="G432" t="str">
        <f>"00337352"</f>
        <v>00337352</v>
      </c>
      <c r="H432">
        <v>30.84</v>
      </c>
      <c r="I432">
        <v>10</v>
      </c>
      <c r="L432">
        <v>4</v>
      </c>
      <c r="M432">
        <v>4</v>
      </c>
      <c r="N432">
        <v>4</v>
      </c>
      <c r="O432">
        <v>2</v>
      </c>
      <c r="P432">
        <v>50.84</v>
      </c>
      <c r="Q432">
        <v>59</v>
      </c>
      <c r="R432">
        <v>59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59</v>
      </c>
      <c r="Z432">
        <v>0</v>
      </c>
      <c r="AA432">
        <v>0</v>
      </c>
      <c r="AC432">
        <v>109.84</v>
      </c>
    </row>
    <row r="433" spans="1:29">
      <c r="A433">
        <v>426</v>
      </c>
      <c r="B433">
        <v>138</v>
      </c>
      <c r="C433" t="s">
        <v>1097</v>
      </c>
      <c r="D433" t="s">
        <v>31</v>
      </c>
      <c r="E433" t="s">
        <v>647</v>
      </c>
      <c r="F433" t="s">
        <v>1098</v>
      </c>
      <c r="G433" t="str">
        <f>"200802005274"</f>
        <v>200802005274</v>
      </c>
      <c r="H433">
        <v>28.8</v>
      </c>
      <c r="I433">
        <v>0</v>
      </c>
      <c r="J433">
        <v>8</v>
      </c>
      <c r="M433">
        <v>8</v>
      </c>
      <c r="N433">
        <v>4</v>
      </c>
      <c r="O433">
        <v>2</v>
      </c>
      <c r="P433">
        <v>42.8</v>
      </c>
      <c r="Q433">
        <v>61</v>
      </c>
      <c r="R433">
        <v>61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61</v>
      </c>
      <c r="Z433">
        <v>6</v>
      </c>
      <c r="AA433">
        <v>0</v>
      </c>
      <c r="AC433">
        <v>109.8</v>
      </c>
    </row>
    <row r="434" spans="1:29">
      <c r="A434">
        <v>427</v>
      </c>
      <c r="B434">
        <v>2187</v>
      </c>
      <c r="C434" t="s">
        <v>1099</v>
      </c>
      <c r="D434" t="s">
        <v>52</v>
      </c>
      <c r="E434" t="s">
        <v>60</v>
      </c>
      <c r="F434" t="s">
        <v>1100</v>
      </c>
      <c r="G434" t="str">
        <f>"00486867"</f>
        <v>00486867</v>
      </c>
      <c r="H434">
        <v>57.6</v>
      </c>
      <c r="I434">
        <v>10</v>
      </c>
      <c r="J434">
        <v>8</v>
      </c>
      <c r="M434">
        <v>8</v>
      </c>
      <c r="N434">
        <v>4</v>
      </c>
      <c r="O434">
        <v>2</v>
      </c>
      <c r="P434">
        <v>81.599999999999994</v>
      </c>
      <c r="Q434">
        <v>25</v>
      </c>
      <c r="R434">
        <v>25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25</v>
      </c>
      <c r="Z434">
        <v>3</v>
      </c>
      <c r="AA434">
        <v>0</v>
      </c>
      <c r="AC434">
        <v>109.6</v>
      </c>
    </row>
    <row r="435" spans="1:29">
      <c r="A435">
        <v>428</v>
      </c>
      <c r="B435">
        <v>4514</v>
      </c>
      <c r="C435" t="s">
        <v>257</v>
      </c>
      <c r="D435" t="s">
        <v>86</v>
      </c>
      <c r="E435" t="s">
        <v>79</v>
      </c>
      <c r="F435" t="s">
        <v>1101</v>
      </c>
      <c r="G435" t="str">
        <f>"00441540"</f>
        <v>00441540</v>
      </c>
      <c r="H435">
        <v>21.6</v>
      </c>
      <c r="I435">
        <v>10</v>
      </c>
      <c r="J435">
        <v>8</v>
      </c>
      <c r="M435">
        <v>8</v>
      </c>
      <c r="N435">
        <v>4</v>
      </c>
      <c r="O435">
        <v>2</v>
      </c>
      <c r="P435">
        <v>45.6</v>
      </c>
      <c r="Q435">
        <v>61</v>
      </c>
      <c r="R435">
        <v>61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61</v>
      </c>
      <c r="Z435">
        <v>3</v>
      </c>
      <c r="AA435">
        <v>0</v>
      </c>
      <c r="AC435">
        <v>109.6</v>
      </c>
    </row>
    <row r="436" spans="1:29">
      <c r="A436">
        <v>429</v>
      </c>
      <c r="B436">
        <v>526</v>
      </c>
      <c r="C436" t="s">
        <v>1102</v>
      </c>
      <c r="D436" t="s">
        <v>52</v>
      </c>
      <c r="E436" t="s">
        <v>18</v>
      </c>
      <c r="F436" t="s">
        <v>1103</v>
      </c>
      <c r="G436" t="str">
        <f>"00480075"</f>
        <v>00480075</v>
      </c>
      <c r="H436">
        <v>35.56</v>
      </c>
      <c r="I436">
        <v>0</v>
      </c>
      <c r="L436">
        <v>4</v>
      </c>
      <c r="M436">
        <v>4</v>
      </c>
      <c r="N436">
        <v>4</v>
      </c>
      <c r="O436">
        <v>2</v>
      </c>
      <c r="P436">
        <v>45.56</v>
      </c>
      <c r="Q436">
        <v>61</v>
      </c>
      <c r="R436">
        <v>61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61</v>
      </c>
      <c r="Z436">
        <v>3</v>
      </c>
      <c r="AA436">
        <v>0</v>
      </c>
      <c r="AC436">
        <v>109.56</v>
      </c>
    </row>
    <row r="437" spans="1:29">
      <c r="A437">
        <v>430</v>
      </c>
      <c r="B437">
        <v>31</v>
      </c>
      <c r="C437" t="s">
        <v>1104</v>
      </c>
      <c r="D437" t="s">
        <v>179</v>
      </c>
      <c r="E437" t="s">
        <v>156</v>
      </c>
      <c r="F437" t="s">
        <v>1105</v>
      </c>
      <c r="G437" t="str">
        <f>"00153180"</f>
        <v>00153180</v>
      </c>
      <c r="H437">
        <v>36.44</v>
      </c>
      <c r="I437">
        <v>0</v>
      </c>
      <c r="J437">
        <v>8</v>
      </c>
      <c r="M437">
        <v>8</v>
      </c>
      <c r="N437">
        <v>4</v>
      </c>
      <c r="O437">
        <v>0</v>
      </c>
      <c r="P437">
        <v>48.44</v>
      </c>
      <c r="Q437">
        <v>55</v>
      </c>
      <c r="R437">
        <v>55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55</v>
      </c>
      <c r="Z437">
        <v>6</v>
      </c>
      <c r="AA437">
        <v>0</v>
      </c>
      <c r="AC437">
        <v>109.44</v>
      </c>
    </row>
    <row r="438" spans="1:29">
      <c r="A438">
        <v>431</v>
      </c>
      <c r="B438">
        <v>549</v>
      </c>
      <c r="C438" t="s">
        <v>1106</v>
      </c>
      <c r="D438" t="s">
        <v>69</v>
      </c>
      <c r="E438" t="s">
        <v>66</v>
      </c>
      <c r="F438" t="s">
        <v>1107</v>
      </c>
      <c r="G438" t="str">
        <f>"00480875"</f>
        <v>00480875</v>
      </c>
      <c r="H438">
        <v>14.4</v>
      </c>
      <c r="I438">
        <v>0</v>
      </c>
      <c r="L438">
        <v>4</v>
      </c>
      <c r="M438">
        <v>4</v>
      </c>
      <c r="N438">
        <v>4</v>
      </c>
      <c r="O438">
        <v>0</v>
      </c>
      <c r="P438">
        <v>22.4</v>
      </c>
      <c r="Q438">
        <v>81</v>
      </c>
      <c r="R438">
        <v>81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81</v>
      </c>
      <c r="Z438">
        <v>6</v>
      </c>
      <c r="AA438">
        <v>0</v>
      </c>
      <c r="AC438">
        <v>109.4</v>
      </c>
    </row>
    <row r="439" spans="1:29">
      <c r="A439">
        <v>432</v>
      </c>
      <c r="B439">
        <v>988</v>
      </c>
      <c r="C439" t="s">
        <v>1108</v>
      </c>
      <c r="D439" t="s">
        <v>1109</v>
      </c>
      <c r="E439" t="s">
        <v>237</v>
      </c>
      <c r="F439" t="s">
        <v>1110</v>
      </c>
      <c r="G439" t="str">
        <f>"00025792"</f>
        <v>00025792</v>
      </c>
      <c r="H439">
        <v>25.32</v>
      </c>
      <c r="I439">
        <v>0</v>
      </c>
      <c r="L439">
        <v>4</v>
      </c>
      <c r="M439">
        <v>4</v>
      </c>
      <c r="N439">
        <v>4</v>
      </c>
      <c r="O439">
        <v>0</v>
      </c>
      <c r="P439">
        <v>33.32</v>
      </c>
      <c r="Q439">
        <v>76</v>
      </c>
      <c r="R439">
        <v>76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76</v>
      </c>
      <c r="Z439">
        <v>0</v>
      </c>
      <c r="AA439">
        <v>0</v>
      </c>
      <c r="AC439">
        <v>109.32</v>
      </c>
    </row>
    <row r="440" spans="1:29">
      <c r="A440">
        <v>433</v>
      </c>
      <c r="B440">
        <v>4062</v>
      </c>
      <c r="C440" t="s">
        <v>1111</v>
      </c>
      <c r="D440" t="s">
        <v>27</v>
      </c>
      <c r="E440" t="s">
        <v>15</v>
      </c>
      <c r="F440" t="s">
        <v>1112</v>
      </c>
      <c r="G440" t="str">
        <f>"201511009110"</f>
        <v>201511009110</v>
      </c>
      <c r="H440">
        <v>34.28</v>
      </c>
      <c r="I440">
        <v>10</v>
      </c>
      <c r="K440">
        <v>6</v>
      </c>
      <c r="M440">
        <v>6</v>
      </c>
      <c r="N440">
        <v>4</v>
      </c>
      <c r="O440">
        <v>0</v>
      </c>
      <c r="P440">
        <v>54.28</v>
      </c>
      <c r="Q440">
        <v>52</v>
      </c>
      <c r="R440">
        <v>52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52</v>
      </c>
      <c r="Z440">
        <v>3</v>
      </c>
      <c r="AA440">
        <v>0</v>
      </c>
      <c r="AC440">
        <v>109.28</v>
      </c>
    </row>
    <row r="441" spans="1:29">
      <c r="A441">
        <v>434</v>
      </c>
      <c r="B441">
        <v>3428</v>
      </c>
      <c r="C441" t="s">
        <v>1113</v>
      </c>
      <c r="D441" t="s">
        <v>130</v>
      </c>
      <c r="E441" t="s">
        <v>621</v>
      </c>
      <c r="F441" t="s">
        <v>1114</v>
      </c>
      <c r="G441" t="str">
        <f>"00508130"</f>
        <v>00508130</v>
      </c>
      <c r="H441">
        <v>7.2</v>
      </c>
      <c r="I441">
        <v>0</v>
      </c>
      <c r="M441">
        <v>0</v>
      </c>
      <c r="N441">
        <v>4</v>
      </c>
      <c r="O441">
        <v>2</v>
      </c>
      <c r="P441">
        <v>13.2</v>
      </c>
      <c r="Q441">
        <v>87</v>
      </c>
      <c r="R441">
        <v>87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87</v>
      </c>
      <c r="Z441">
        <v>9</v>
      </c>
      <c r="AA441">
        <v>0</v>
      </c>
      <c r="AC441">
        <v>109.2</v>
      </c>
    </row>
    <row r="442" spans="1:29">
      <c r="A442">
        <v>435</v>
      </c>
      <c r="B442">
        <v>1487</v>
      </c>
      <c r="C442" t="s">
        <v>934</v>
      </c>
      <c r="D442" t="s">
        <v>1115</v>
      </c>
      <c r="E442" t="s">
        <v>77</v>
      </c>
      <c r="F442" t="s">
        <v>1116</v>
      </c>
      <c r="G442" t="str">
        <f>"00210536"</f>
        <v>00210536</v>
      </c>
      <c r="H442">
        <v>43.2</v>
      </c>
      <c r="I442">
        <v>0</v>
      </c>
      <c r="M442">
        <v>0</v>
      </c>
      <c r="N442">
        <v>4</v>
      </c>
      <c r="O442">
        <v>0</v>
      </c>
      <c r="P442">
        <v>47.2</v>
      </c>
      <c r="Q442">
        <v>62</v>
      </c>
      <c r="R442">
        <v>62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62</v>
      </c>
      <c r="Z442">
        <v>0</v>
      </c>
      <c r="AA442">
        <v>0</v>
      </c>
      <c r="AC442">
        <v>109.2</v>
      </c>
    </row>
    <row r="443" spans="1:29">
      <c r="A443">
        <v>436</v>
      </c>
      <c r="B443">
        <v>1239</v>
      </c>
      <c r="C443" t="s">
        <v>1117</v>
      </c>
      <c r="D443" t="s">
        <v>1118</v>
      </c>
      <c r="E443" t="s">
        <v>1119</v>
      </c>
      <c r="F443" t="s">
        <v>1120</v>
      </c>
      <c r="G443" t="str">
        <f>"00510571"</f>
        <v>00510571</v>
      </c>
      <c r="H443">
        <v>7.2</v>
      </c>
      <c r="I443">
        <v>0</v>
      </c>
      <c r="J443">
        <v>8</v>
      </c>
      <c r="M443">
        <v>8</v>
      </c>
      <c r="N443">
        <v>4</v>
      </c>
      <c r="O443">
        <v>2</v>
      </c>
      <c r="P443">
        <v>21.2</v>
      </c>
      <c r="Q443">
        <v>88</v>
      </c>
      <c r="R443">
        <v>88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88</v>
      </c>
      <c r="Z443">
        <v>0</v>
      </c>
      <c r="AA443">
        <v>0</v>
      </c>
      <c r="AC443">
        <v>109.2</v>
      </c>
    </row>
    <row r="444" spans="1:29">
      <c r="A444">
        <v>437</v>
      </c>
      <c r="B444">
        <v>3214</v>
      </c>
      <c r="C444" t="s">
        <v>1121</v>
      </c>
      <c r="D444" t="s">
        <v>130</v>
      </c>
      <c r="E444" t="s">
        <v>18</v>
      </c>
      <c r="F444" t="s">
        <v>1122</v>
      </c>
      <c r="G444" t="str">
        <f>"200801004997"</f>
        <v>200801004997</v>
      </c>
      <c r="H444">
        <v>7.2</v>
      </c>
      <c r="I444">
        <v>0</v>
      </c>
      <c r="K444">
        <v>6</v>
      </c>
      <c r="M444">
        <v>6</v>
      </c>
      <c r="N444">
        <v>4</v>
      </c>
      <c r="O444">
        <v>2</v>
      </c>
      <c r="P444">
        <v>19.2</v>
      </c>
      <c r="Q444">
        <v>54</v>
      </c>
      <c r="R444">
        <v>54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54</v>
      </c>
      <c r="Z444">
        <v>9</v>
      </c>
      <c r="AA444">
        <v>26.8</v>
      </c>
      <c r="AC444">
        <v>109</v>
      </c>
    </row>
    <row r="445" spans="1:29">
      <c r="A445">
        <v>438</v>
      </c>
      <c r="B445">
        <v>2841</v>
      </c>
      <c r="C445" t="s">
        <v>1123</v>
      </c>
      <c r="D445" t="s">
        <v>15</v>
      </c>
      <c r="E445" t="s">
        <v>79</v>
      </c>
      <c r="F445" t="s">
        <v>1124</v>
      </c>
      <c r="G445" t="str">
        <f>"00490540"</f>
        <v>00490540</v>
      </c>
      <c r="H445">
        <v>36</v>
      </c>
      <c r="I445">
        <v>0</v>
      </c>
      <c r="J445">
        <v>8</v>
      </c>
      <c r="M445">
        <v>8</v>
      </c>
      <c r="N445">
        <v>4</v>
      </c>
      <c r="O445">
        <v>2</v>
      </c>
      <c r="P445">
        <v>50</v>
      </c>
      <c r="Q445">
        <v>47</v>
      </c>
      <c r="R445">
        <v>47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47</v>
      </c>
      <c r="Z445">
        <v>12</v>
      </c>
      <c r="AA445">
        <v>0</v>
      </c>
      <c r="AC445">
        <v>109</v>
      </c>
    </row>
    <row r="446" spans="1:29">
      <c r="A446">
        <v>439</v>
      </c>
      <c r="B446">
        <v>413</v>
      </c>
      <c r="C446" t="s">
        <v>1125</v>
      </c>
      <c r="D446" t="s">
        <v>27</v>
      </c>
      <c r="E446" t="s">
        <v>32</v>
      </c>
      <c r="F446" t="s">
        <v>1126</v>
      </c>
      <c r="G446" t="str">
        <f>"00480373"</f>
        <v>00480373</v>
      </c>
      <c r="H446">
        <v>72</v>
      </c>
      <c r="I446">
        <v>0</v>
      </c>
      <c r="K446">
        <v>6</v>
      </c>
      <c r="M446">
        <v>6</v>
      </c>
      <c r="N446">
        <v>4</v>
      </c>
      <c r="O446">
        <v>0</v>
      </c>
      <c r="P446">
        <v>82</v>
      </c>
      <c r="Q446">
        <v>18</v>
      </c>
      <c r="R446">
        <v>18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18</v>
      </c>
      <c r="Z446">
        <v>9</v>
      </c>
      <c r="AA446">
        <v>0</v>
      </c>
      <c r="AC446">
        <v>109</v>
      </c>
    </row>
    <row r="447" spans="1:29">
      <c r="A447">
        <v>440</v>
      </c>
      <c r="B447">
        <v>4735</v>
      </c>
      <c r="C447" t="s">
        <v>1127</v>
      </c>
      <c r="D447" t="s">
        <v>52</v>
      </c>
      <c r="E447" t="s">
        <v>77</v>
      </c>
      <c r="F447" t="s">
        <v>1128</v>
      </c>
      <c r="G447" t="str">
        <f>"00471846"</f>
        <v>00471846</v>
      </c>
      <c r="H447">
        <v>72</v>
      </c>
      <c r="I447">
        <v>0</v>
      </c>
      <c r="J447">
        <v>8</v>
      </c>
      <c r="L447">
        <v>4</v>
      </c>
      <c r="M447">
        <v>12</v>
      </c>
      <c r="N447">
        <v>4</v>
      </c>
      <c r="O447">
        <v>0</v>
      </c>
      <c r="P447">
        <v>88</v>
      </c>
      <c r="Q447">
        <v>18</v>
      </c>
      <c r="R447">
        <v>18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18</v>
      </c>
      <c r="Z447">
        <v>3</v>
      </c>
      <c r="AA447">
        <v>0</v>
      </c>
      <c r="AC447">
        <v>109</v>
      </c>
    </row>
    <row r="448" spans="1:29">
      <c r="A448">
        <v>441</v>
      </c>
      <c r="B448">
        <v>2931</v>
      </c>
      <c r="C448" t="s">
        <v>1129</v>
      </c>
      <c r="D448" t="s">
        <v>930</v>
      </c>
      <c r="E448" t="s">
        <v>15</v>
      </c>
      <c r="F448" t="s">
        <v>1130</v>
      </c>
      <c r="G448" t="str">
        <f>"00500124"</f>
        <v>00500124</v>
      </c>
      <c r="H448">
        <v>36</v>
      </c>
      <c r="I448">
        <v>10</v>
      </c>
      <c r="M448">
        <v>0</v>
      </c>
      <c r="N448">
        <v>4</v>
      </c>
      <c r="O448">
        <v>2</v>
      </c>
      <c r="P448">
        <v>52</v>
      </c>
      <c r="Q448">
        <v>54</v>
      </c>
      <c r="R448">
        <v>54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54</v>
      </c>
      <c r="Z448">
        <v>3</v>
      </c>
      <c r="AA448">
        <v>0</v>
      </c>
      <c r="AC448">
        <v>109</v>
      </c>
    </row>
    <row r="449" spans="1:29">
      <c r="A449">
        <v>442</v>
      </c>
      <c r="B449">
        <v>2513</v>
      </c>
      <c r="C449" t="s">
        <v>1131</v>
      </c>
      <c r="D449" t="s">
        <v>39</v>
      </c>
      <c r="E449" t="s">
        <v>28</v>
      </c>
      <c r="F449" t="s">
        <v>1132</v>
      </c>
      <c r="G449" t="str">
        <f>"00507203"</f>
        <v>00507203</v>
      </c>
      <c r="H449">
        <v>36</v>
      </c>
      <c r="I449">
        <v>0</v>
      </c>
      <c r="L449">
        <v>4</v>
      </c>
      <c r="M449">
        <v>4</v>
      </c>
      <c r="N449">
        <v>4</v>
      </c>
      <c r="O449">
        <v>2</v>
      </c>
      <c r="P449">
        <v>46</v>
      </c>
      <c r="Q449">
        <v>60</v>
      </c>
      <c r="R449">
        <v>60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60</v>
      </c>
      <c r="Z449">
        <v>3</v>
      </c>
      <c r="AA449">
        <v>0</v>
      </c>
      <c r="AC449">
        <v>109</v>
      </c>
    </row>
    <row r="450" spans="1:29">
      <c r="A450">
        <v>443</v>
      </c>
      <c r="B450">
        <v>1938</v>
      </c>
      <c r="C450" t="s">
        <v>1133</v>
      </c>
      <c r="D450" t="s">
        <v>113</v>
      </c>
      <c r="E450" t="s">
        <v>18</v>
      </c>
      <c r="F450" t="s">
        <v>1134</v>
      </c>
      <c r="G450" t="str">
        <f>"00483562"</f>
        <v>00483562</v>
      </c>
      <c r="H450">
        <v>36</v>
      </c>
      <c r="I450">
        <v>10</v>
      </c>
      <c r="J450">
        <v>8</v>
      </c>
      <c r="M450">
        <v>8</v>
      </c>
      <c r="N450">
        <v>4</v>
      </c>
      <c r="O450">
        <v>0</v>
      </c>
      <c r="P450">
        <v>58</v>
      </c>
      <c r="Q450">
        <v>51</v>
      </c>
      <c r="R450">
        <v>51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51</v>
      </c>
      <c r="Z450">
        <v>0</v>
      </c>
      <c r="AA450">
        <v>0</v>
      </c>
      <c r="AC450">
        <v>109</v>
      </c>
    </row>
    <row r="451" spans="1:29">
      <c r="A451">
        <v>444</v>
      </c>
      <c r="B451">
        <v>3700</v>
      </c>
      <c r="C451" t="s">
        <v>1135</v>
      </c>
      <c r="D451" t="s">
        <v>205</v>
      </c>
      <c r="E451" t="s">
        <v>18</v>
      </c>
      <c r="F451" t="s">
        <v>1136</v>
      </c>
      <c r="G451" t="str">
        <f>"00486754"</f>
        <v>00486754</v>
      </c>
      <c r="H451">
        <v>36</v>
      </c>
      <c r="I451">
        <v>10</v>
      </c>
      <c r="L451">
        <v>4</v>
      </c>
      <c r="M451">
        <v>4</v>
      </c>
      <c r="N451">
        <v>4</v>
      </c>
      <c r="O451">
        <v>2</v>
      </c>
      <c r="P451">
        <v>56</v>
      </c>
      <c r="Q451">
        <v>53</v>
      </c>
      <c r="R451">
        <v>53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53</v>
      </c>
      <c r="Z451">
        <v>0</v>
      </c>
      <c r="AA451">
        <v>0</v>
      </c>
      <c r="AC451">
        <v>109</v>
      </c>
    </row>
    <row r="452" spans="1:29">
      <c r="A452">
        <v>445</v>
      </c>
      <c r="B452">
        <v>4120</v>
      </c>
      <c r="C452" t="s">
        <v>1137</v>
      </c>
      <c r="D452" t="s">
        <v>1138</v>
      </c>
      <c r="E452" t="s">
        <v>1139</v>
      </c>
      <c r="F452" t="s">
        <v>1140</v>
      </c>
      <c r="G452" t="str">
        <f>"00441513"</f>
        <v>00441513</v>
      </c>
      <c r="H452">
        <v>36</v>
      </c>
      <c r="I452">
        <v>10</v>
      </c>
      <c r="M452">
        <v>0</v>
      </c>
      <c r="N452">
        <v>4</v>
      </c>
      <c r="O452">
        <v>0</v>
      </c>
      <c r="P452">
        <v>50</v>
      </c>
      <c r="Q452">
        <v>59</v>
      </c>
      <c r="R452">
        <v>59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59</v>
      </c>
      <c r="Z452">
        <v>0</v>
      </c>
      <c r="AA452">
        <v>0</v>
      </c>
      <c r="AC452">
        <v>109</v>
      </c>
    </row>
    <row r="453" spans="1:29">
      <c r="A453">
        <v>446</v>
      </c>
      <c r="B453">
        <v>696</v>
      </c>
      <c r="C453" t="s">
        <v>1141</v>
      </c>
      <c r="D453" t="s">
        <v>739</v>
      </c>
      <c r="E453" t="s">
        <v>156</v>
      </c>
      <c r="F453" t="s">
        <v>1142</v>
      </c>
      <c r="G453" t="str">
        <f>"00530571"</f>
        <v>00530571</v>
      </c>
      <c r="H453">
        <v>30</v>
      </c>
      <c r="I453">
        <v>10</v>
      </c>
      <c r="L453">
        <v>4</v>
      </c>
      <c r="M453">
        <v>4</v>
      </c>
      <c r="N453">
        <v>0</v>
      </c>
      <c r="O453">
        <v>2</v>
      </c>
      <c r="P453">
        <v>46</v>
      </c>
      <c r="Q453">
        <v>30</v>
      </c>
      <c r="R453">
        <v>30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30</v>
      </c>
      <c r="Z453">
        <v>6</v>
      </c>
      <c r="AA453">
        <v>26.8</v>
      </c>
      <c r="AC453">
        <v>108.8</v>
      </c>
    </row>
    <row r="454" spans="1:29">
      <c r="A454">
        <v>447</v>
      </c>
      <c r="B454">
        <v>292</v>
      </c>
      <c r="C454" t="s">
        <v>1143</v>
      </c>
      <c r="D454" t="s">
        <v>400</v>
      </c>
      <c r="E454" t="s">
        <v>777</v>
      </c>
      <c r="F454" t="s">
        <v>1144</v>
      </c>
      <c r="G454" t="str">
        <f>"00531509"</f>
        <v>00531509</v>
      </c>
      <c r="H454">
        <v>64.8</v>
      </c>
      <c r="I454">
        <v>10</v>
      </c>
      <c r="L454">
        <v>4</v>
      </c>
      <c r="M454">
        <v>4</v>
      </c>
      <c r="N454">
        <v>4</v>
      </c>
      <c r="O454">
        <v>2</v>
      </c>
      <c r="P454">
        <v>84.8</v>
      </c>
      <c r="Q454">
        <v>18</v>
      </c>
      <c r="R454">
        <v>18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18</v>
      </c>
      <c r="Z454">
        <v>6</v>
      </c>
      <c r="AA454">
        <v>0</v>
      </c>
      <c r="AC454">
        <v>108.8</v>
      </c>
    </row>
    <row r="455" spans="1:29">
      <c r="A455">
        <v>448</v>
      </c>
      <c r="B455">
        <v>850</v>
      </c>
      <c r="C455" t="s">
        <v>1145</v>
      </c>
      <c r="D455" t="s">
        <v>27</v>
      </c>
      <c r="E455" t="s">
        <v>50</v>
      </c>
      <c r="F455" t="s">
        <v>1146</v>
      </c>
      <c r="G455" t="str">
        <f>"200802003313"</f>
        <v>200802003313</v>
      </c>
      <c r="H455">
        <v>64.8</v>
      </c>
      <c r="I455">
        <v>0</v>
      </c>
      <c r="L455">
        <v>4</v>
      </c>
      <c r="M455">
        <v>4</v>
      </c>
      <c r="N455">
        <v>4</v>
      </c>
      <c r="O455">
        <v>2</v>
      </c>
      <c r="P455">
        <v>74.8</v>
      </c>
      <c r="Q455">
        <v>28</v>
      </c>
      <c r="R455">
        <v>28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28</v>
      </c>
      <c r="Z455">
        <v>6</v>
      </c>
      <c r="AA455">
        <v>0</v>
      </c>
      <c r="AC455">
        <v>108.8</v>
      </c>
    </row>
    <row r="456" spans="1:29">
      <c r="A456">
        <v>449</v>
      </c>
      <c r="B456">
        <v>4569</v>
      </c>
      <c r="C456" t="s">
        <v>1147</v>
      </c>
      <c r="D456" t="s">
        <v>811</v>
      </c>
      <c r="E456" t="s">
        <v>79</v>
      </c>
      <c r="F456" t="s">
        <v>1148</v>
      </c>
      <c r="G456" t="str">
        <f>"00498462"</f>
        <v>00498462</v>
      </c>
      <c r="H456">
        <v>28.8</v>
      </c>
      <c r="I456">
        <v>10</v>
      </c>
      <c r="L456">
        <v>4</v>
      </c>
      <c r="M456">
        <v>4</v>
      </c>
      <c r="N456">
        <v>4</v>
      </c>
      <c r="O456">
        <v>0</v>
      </c>
      <c r="P456">
        <v>46.8</v>
      </c>
      <c r="Q456">
        <v>62</v>
      </c>
      <c r="R456">
        <v>62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62</v>
      </c>
      <c r="Z456">
        <v>0</v>
      </c>
      <c r="AA456">
        <v>0</v>
      </c>
      <c r="AB456" t="s">
        <v>128</v>
      </c>
      <c r="AC456">
        <v>108.8</v>
      </c>
    </row>
    <row r="457" spans="1:29">
      <c r="A457">
        <v>450</v>
      </c>
      <c r="B457">
        <v>4349</v>
      </c>
      <c r="C457" t="s">
        <v>1149</v>
      </c>
      <c r="D457" t="s">
        <v>1150</v>
      </c>
      <c r="E457" t="s">
        <v>369</v>
      </c>
      <c r="F457" t="s">
        <v>1151</v>
      </c>
      <c r="G457" t="str">
        <f>"00557682"</f>
        <v>00557682</v>
      </c>
      <c r="H457">
        <v>57.6</v>
      </c>
      <c r="I457">
        <v>10</v>
      </c>
      <c r="M457">
        <v>0</v>
      </c>
      <c r="N457">
        <v>4</v>
      </c>
      <c r="O457">
        <v>2</v>
      </c>
      <c r="P457">
        <v>73.599999999999994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3</v>
      </c>
      <c r="AA457">
        <v>32</v>
      </c>
      <c r="AC457">
        <v>108.6</v>
      </c>
    </row>
    <row r="458" spans="1:29">
      <c r="A458">
        <v>451</v>
      </c>
      <c r="B458">
        <v>1703</v>
      </c>
      <c r="C458" t="s">
        <v>1152</v>
      </c>
      <c r="D458" t="s">
        <v>1153</v>
      </c>
      <c r="E458" t="s">
        <v>36</v>
      </c>
      <c r="F458" t="s">
        <v>1154</v>
      </c>
      <c r="G458" t="str">
        <f>"00093702"</f>
        <v>00093702</v>
      </c>
      <c r="H458">
        <v>39.6</v>
      </c>
      <c r="I458">
        <v>10</v>
      </c>
      <c r="J458">
        <v>8</v>
      </c>
      <c r="M458">
        <v>8</v>
      </c>
      <c r="N458">
        <v>4</v>
      </c>
      <c r="O458">
        <v>2</v>
      </c>
      <c r="P458">
        <v>63.6</v>
      </c>
      <c r="Q458">
        <v>42</v>
      </c>
      <c r="R458">
        <v>42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42</v>
      </c>
      <c r="Z458">
        <v>3</v>
      </c>
      <c r="AA458">
        <v>0</v>
      </c>
      <c r="AC458">
        <v>108.6</v>
      </c>
    </row>
    <row r="459" spans="1:29">
      <c r="A459">
        <v>452</v>
      </c>
      <c r="B459">
        <v>2429</v>
      </c>
      <c r="C459" t="s">
        <v>1155</v>
      </c>
      <c r="D459" t="s">
        <v>349</v>
      </c>
      <c r="E459" t="s">
        <v>1156</v>
      </c>
      <c r="F459" t="s">
        <v>1157</v>
      </c>
      <c r="G459" t="str">
        <f>"00529336"</f>
        <v>00529336</v>
      </c>
      <c r="H459">
        <v>57.6</v>
      </c>
      <c r="I459">
        <v>0</v>
      </c>
      <c r="J459">
        <v>8</v>
      </c>
      <c r="M459">
        <v>8</v>
      </c>
      <c r="N459">
        <v>4</v>
      </c>
      <c r="O459">
        <v>2</v>
      </c>
      <c r="P459">
        <v>71.599999999999994</v>
      </c>
      <c r="Q459">
        <v>37</v>
      </c>
      <c r="R459">
        <v>37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37</v>
      </c>
      <c r="Z459">
        <v>0</v>
      </c>
      <c r="AA459">
        <v>0</v>
      </c>
      <c r="AC459">
        <v>108.6</v>
      </c>
    </row>
    <row r="460" spans="1:29">
      <c r="A460">
        <v>453</v>
      </c>
      <c r="B460">
        <v>3908</v>
      </c>
      <c r="C460" t="s">
        <v>1158</v>
      </c>
      <c r="D460" t="s">
        <v>394</v>
      </c>
      <c r="E460" t="s">
        <v>1159</v>
      </c>
      <c r="F460" t="s">
        <v>1160</v>
      </c>
      <c r="G460" t="str">
        <f>"00530395"</f>
        <v>00530395</v>
      </c>
      <c r="H460">
        <v>57.6</v>
      </c>
      <c r="I460">
        <v>0</v>
      </c>
      <c r="J460">
        <v>8</v>
      </c>
      <c r="M460">
        <v>8</v>
      </c>
      <c r="N460">
        <v>4</v>
      </c>
      <c r="O460">
        <v>2</v>
      </c>
      <c r="P460">
        <v>71.599999999999994</v>
      </c>
      <c r="Q460">
        <v>37</v>
      </c>
      <c r="R460">
        <v>37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37</v>
      </c>
      <c r="Z460">
        <v>0</v>
      </c>
      <c r="AA460">
        <v>0</v>
      </c>
      <c r="AC460">
        <v>108.6</v>
      </c>
    </row>
    <row r="461" spans="1:29">
      <c r="A461">
        <v>454</v>
      </c>
      <c r="B461">
        <v>945</v>
      </c>
      <c r="C461" t="s">
        <v>1161</v>
      </c>
      <c r="D461" t="s">
        <v>185</v>
      </c>
      <c r="E461" t="s">
        <v>337</v>
      </c>
      <c r="F461" t="s">
        <v>1162</v>
      </c>
      <c r="G461" t="str">
        <f>"201402002943"</f>
        <v>201402002943</v>
      </c>
      <c r="H461">
        <v>57.6</v>
      </c>
      <c r="I461">
        <v>0</v>
      </c>
      <c r="J461">
        <v>8</v>
      </c>
      <c r="M461">
        <v>8</v>
      </c>
      <c r="N461">
        <v>4</v>
      </c>
      <c r="O461">
        <v>2</v>
      </c>
      <c r="P461">
        <v>71.599999999999994</v>
      </c>
      <c r="Q461">
        <v>37</v>
      </c>
      <c r="R461">
        <v>37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37</v>
      </c>
      <c r="Z461">
        <v>0</v>
      </c>
      <c r="AA461">
        <v>0</v>
      </c>
      <c r="AC461">
        <v>108.6</v>
      </c>
    </row>
    <row r="462" spans="1:29">
      <c r="A462">
        <v>455</v>
      </c>
      <c r="B462">
        <v>2958</v>
      </c>
      <c r="C462" t="s">
        <v>1163</v>
      </c>
      <c r="D462" t="s">
        <v>52</v>
      </c>
      <c r="E462" t="s">
        <v>115</v>
      </c>
      <c r="F462" t="s">
        <v>1164</v>
      </c>
      <c r="G462" t="str">
        <f>"00157479"</f>
        <v>00157479</v>
      </c>
      <c r="H462">
        <v>43.2</v>
      </c>
      <c r="I462">
        <v>0</v>
      </c>
      <c r="L462">
        <v>4</v>
      </c>
      <c r="M462">
        <v>4</v>
      </c>
      <c r="N462">
        <v>4</v>
      </c>
      <c r="O462">
        <v>0</v>
      </c>
      <c r="P462">
        <v>51.2</v>
      </c>
      <c r="Q462">
        <v>54</v>
      </c>
      <c r="R462">
        <v>54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54</v>
      </c>
      <c r="Z462">
        <v>3</v>
      </c>
      <c r="AA462">
        <v>0</v>
      </c>
      <c r="AC462">
        <v>108.2</v>
      </c>
    </row>
    <row r="463" spans="1:29">
      <c r="A463">
        <v>456</v>
      </c>
      <c r="B463">
        <v>4292</v>
      </c>
      <c r="C463" t="s">
        <v>1165</v>
      </c>
      <c r="D463" t="s">
        <v>1166</v>
      </c>
      <c r="E463" t="s">
        <v>134</v>
      </c>
      <c r="F463" t="s">
        <v>1167</v>
      </c>
      <c r="G463" t="str">
        <f>"00504661"</f>
        <v>00504661</v>
      </c>
      <c r="H463">
        <v>30.2</v>
      </c>
      <c r="I463">
        <v>10</v>
      </c>
      <c r="M463">
        <v>0</v>
      </c>
      <c r="N463">
        <v>4</v>
      </c>
      <c r="O463">
        <v>0</v>
      </c>
      <c r="P463">
        <v>44.2</v>
      </c>
      <c r="Q463">
        <v>64</v>
      </c>
      <c r="R463">
        <v>64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64</v>
      </c>
      <c r="Z463">
        <v>0</v>
      </c>
      <c r="AA463">
        <v>0</v>
      </c>
      <c r="AC463">
        <v>108.2</v>
      </c>
    </row>
    <row r="464" spans="1:29">
      <c r="A464">
        <v>457</v>
      </c>
      <c r="B464">
        <v>1593</v>
      </c>
      <c r="C464" t="s">
        <v>1168</v>
      </c>
      <c r="D464" t="s">
        <v>1169</v>
      </c>
      <c r="E464" t="s">
        <v>15</v>
      </c>
      <c r="F464" t="s">
        <v>1170</v>
      </c>
      <c r="G464" t="str">
        <f>"00037556"</f>
        <v>00037556</v>
      </c>
      <c r="H464">
        <v>40</v>
      </c>
      <c r="I464">
        <v>10</v>
      </c>
      <c r="J464">
        <v>8</v>
      </c>
      <c r="M464">
        <v>8</v>
      </c>
      <c r="N464">
        <v>4</v>
      </c>
      <c r="O464">
        <v>0</v>
      </c>
      <c r="P464">
        <v>62</v>
      </c>
      <c r="Q464">
        <v>37</v>
      </c>
      <c r="R464">
        <v>37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37</v>
      </c>
      <c r="Z464">
        <v>9</v>
      </c>
      <c r="AA464">
        <v>0</v>
      </c>
      <c r="AC464">
        <v>108</v>
      </c>
    </row>
    <row r="465" spans="1:29">
      <c r="A465">
        <v>458</v>
      </c>
      <c r="B465">
        <v>4129</v>
      </c>
      <c r="C465" t="s">
        <v>1171</v>
      </c>
      <c r="D465" t="s">
        <v>31</v>
      </c>
      <c r="E465" t="s">
        <v>1172</v>
      </c>
      <c r="F465" t="s">
        <v>1173</v>
      </c>
      <c r="G465" t="str">
        <f>"00482757"</f>
        <v>00482757</v>
      </c>
      <c r="H465">
        <v>36</v>
      </c>
      <c r="I465">
        <v>0</v>
      </c>
      <c r="L465">
        <v>4</v>
      </c>
      <c r="M465">
        <v>4</v>
      </c>
      <c r="N465">
        <v>4</v>
      </c>
      <c r="O465">
        <v>2</v>
      </c>
      <c r="P465">
        <v>46</v>
      </c>
      <c r="Q465">
        <v>62</v>
      </c>
      <c r="R465">
        <v>62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62</v>
      </c>
      <c r="Z465">
        <v>0</v>
      </c>
      <c r="AA465">
        <v>0</v>
      </c>
      <c r="AC465">
        <v>108</v>
      </c>
    </row>
    <row r="466" spans="1:29">
      <c r="A466">
        <v>459</v>
      </c>
      <c r="B466">
        <v>4165</v>
      </c>
      <c r="C466" t="s">
        <v>1174</v>
      </c>
      <c r="D466" t="s">
        <v>473</v>
      </c>
      <c r="E466" t="s">
        <v>419</v>
      </c>
      <c r="F466">
        <v>265839</v>
      </c>
      <c r="G466" t="str">
        <f>"00162945"</f>
        <v>00162945</v>
      </c>
      <c r="H466">
        <v>0</v>
      </c>
      <c r="I466">
        <v>0</v>
      </c>
      <c r="M466">
        <v>0</v>
      </c>
      <c r="N466">
        <v>4</v>
      </c>
      <c r="O466">
        <v>0</v>
      </c>
      <c r="P466">
        <v>4</v>
      </c>
      <c r="Q466">
        <v>104</v>
      </c>
      <c r="R466">
        <v>104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104</v>
      </c>
      <c r="Z466">
        <v>0</v>
      </c>
      <c r="AA466">
        <v>0</v>
      </c>
      <c r="AC466">
        <v>108</v>
      </c>
    </row>
    <row r="467" spans="1:29">
      <c r="A467">
        <v>460</v>
      </c>
      <c r="B467">
        <v>2585</v>
      </c>
      <c r="C467" t="s">
        <v>1175</v>
      </c>
      <c r="D467" t="s">
        <v>588</v>
      </c>
      <c r="E467" t="s">
        <v>1176</v>
      </c>
      <c r="F467" t="s">
        <v>1177</v>
      </c>
      <c r="G467" t="str">
        <f>"00516152"</f>
        <v>00516152</v>
      </c>
      <c r="H467">
        <v>28.8</v>
      </c>
      <c r="I467">
        <v>10</v>
      </c>
      <c r="M467">
        <v>0</v>
      </c>
      <c r="N467">
        <v>4</v>
      </c>
      <c r="O467">
        <v>2</v>
      </c>
      <c r="P467">
        <v>44.8</v>
      </c>
      <c r="Q467">
        <v>57</v>
      </c>
      <c r="R467">
        <v>57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57</v>
      </c>
      <c r="Z467">
        <v>6</v>
      </c>
      <c r="AA467">
        <v>0</v>
      </c>
      <c r="AC467">
        <v>107.8</v>
      </c>
    </row>
    <row r="468" spans="1:29">
      <c r="A468">
        <v>461</v>
      </c>
      <c r="B468">
        <v>260</v>
      </c>
      <c r="C468" t="s">
        <v>1178</v>
      </c>
      <c r="D468" t="s">
        <v>1179</v>
      </c>
      <c r="E468" t="s">
        <v>1180</v>
      </c>
      <c r="F468" t="s">
        <v>1181</v>
      </c>
      <c r="G468" t="str">
        <f>"00365161"</f>
        <v>00365161</v>
      </c>
      <c r="H468">
        <v>64.8</v>
      </c>
      <c r="I468">
        <v>0</v>
      </c>
      <c r="M468">
        <v>0</v>
      </c>
      <c r="N468">
        <v>4</v>
      </c>
      <c r="O468">
        <v>2</v>
      </c>
      <c r="P468">
        <v>70.8</v>
      </c>
      <c r="Q468">
        <v>34</v>
      </c>
      <c r="R468">
        <v>34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34</v>
      </c>
      <c r="Z468">
        <v>3</v>
      </c>
      <c r="AA468">
        <v>0</v>
      </c>
      <c r="AC468">
        <v>107.8</v>
      </c>
    </row>
    <row r="469" spans="1:29">
      <c r="A469">
        <v>462</v>
      </c>
      <c r="B469">
        <v>3533</v>
      </c>
      <c r="C469" t="s">
        <v>1182</v>
      </c>
      <c r="D469" t="s">
        <v>27</v>
      </c>
      <c r="E469" t="s">
        <v>28</v>
      </c>
      <c r="F469" t="s">
        <v>1183</v>
      </c>
      <c r="G469" t="str">
        <f>"00530184"</f>
        <v>00530184</v>
      </c>
      <c r="H469">
        <v>28.8</v>
      </c>
      <c r="I469">
        <v>0</v>
      </c>
      <c r="J469">
        <v>8</v>
      </c>
      <c r="L469">
        <v>4</v>
      </c>
      <c r="M469">
        <v>12</v>
      </c>
      <c r="N469">
        <v>4</v>
      </c>
      <c r="O469">
        <v>2</v>
      </c>
      <c r="P469">
        <v>46.8</v>
      </c>
      <c r="Q469">
        <v>61</v>
      </c>
      <c r="R469">
        <v>61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61</v>
      </c>
      <c r="Z469">
        <v>0</v>
      </c>
      <c r="AA469">
        <v>0</v>
      </c>
      <c r="AB469" t="s">
        <v>128</v>
      </c>
      <c r="AC469">
        <v>107.8</v>
      </c>
    </row>
    <row r="470" spans="1:29">
      <c r="A470">
        <v>463</v>
      </c>
      <c r="B470">
        <v>1018</v>
      </c>
      <c r="C470" t="s">
        <v>1184</v>
      </c>
      <c r="D470" t="s">
        <v>1082</v>
      </c>
      <c r="E470" t="s">
        <v>647</v>
      </c>
      <c r="F470" t="s">
        <v>1185</v>
      </c>
      <c r="G470" t="str">
        <f>"00492789"</f>
        <v>00492789</v>
      </c>
      <c r="H470">
        <v>28.8</v>
      </c>
      <c r="I470">
        <v>0</v>
      </c>
      <c r="L470">
        <v>4</v>
      </c>
      <c r="M470">
        <v>4</v>
      </c>
      <c r="N470">
        <v>4</v>
      </c>
      <c r="O470">
        <v>2</v>
      </c>
      <c r="P470">
        <v>38.799999999999997</v>
      </c>
      <c r="Q470">
        <v>69</v>
      </c>
      <c r="R470">
        <v>69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69</v>
      </c>
      <c r="Z470">
        <v>0</v>
      </c>
      <c r="AA470">
        <v>0</v>
      </c>
      <c r="AC470">
        <v>107.8</v>
      </c>
    </row>
    <row r="471" spans="1:29">
      <c r="A471">
        <v>464</v>
      </c>
      <c r="B471">
        <v>3592</v>
      </c>
      <c r="C471" t="s">
        <v>1186</v>
      </c>
      <c r="D471" t="s">
        <v>1187</v>
      </c>
      <c r="E471" t="s">
        <v>1188</v>
      </c>
      <c r="F471" t="s">
        <v>1189</v>
      </c>
      <c r="G471" t="str">
        <f>"00480713"</f>
        <v>00480713</v>
      </c>
      <c r="H471">
        <v>38.68</v>
      </c>
      <c r="I471">
        <v>0</v>
      </c>
      <c r="M471">
        <v>0</v>
      </c>
      <c r="N471">
        <v>4</v>
      </c>
      <c r="O471">
        <v>0</v>
      </c>
      <c r="P471">
        <v>42.68</v>
      </c>
      <c r="Q471">
        <v>27</v>
      </c>
      <c r="R471">
        <v>27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27</v>
      </c>
      <c r="Z471">
        <v>6</v>
      </c>
      <c r="AA471">
        <v>32</v>
      </c>
      <c r="AC471">
        <v>107.68</v>
      </c>
    </row>
    <row r="472" spans="1:29">
      <c r="A472">
        <v>465</v>
      </c>
      <c r="B472">
        <v>60</v>
      </c>
      <c r="C472" t="s">
        <v>1190</v>
      </c>
      <c r="D472" t="s">
        <v>336</v>
      </c>
      <c r="E472" t="s">
        <v>134</v>
      </c>
      <c r="F472" t="s">
        <v>1191</v>
      </c>
      <c r="G472" t="str">
        <f>"00154848"</f>
        <v>00154848</v>
      </c>
      <c r="H472">
        <v>57.6</v>
      </c>
      <c r="I472">
        <v>0</v>
      </c>
      <c r="L472">
        <v>4</v>
      </c>
      <c r="M472">
        <v>4</v>
      </c>
      <c r="N472">
        <v>4</v>
      </c>
      <c r="O472">
        <v>2</v>
      </c>
      <c r="P472">
        <v>67.599999999999994</v>
      </c>
      <c r="Q472">
        <v>34</v>
      </c>
      <c r="R472">
        <v>34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34</v>
      </c>
      <c r="Z472">
        <v>6</v>
      </c>
      <c r="AA472">
        <v>0</v>
      </c>
      <c r="AC472">
        <v>107.6</v>
      </c>
    </row>
    <row r="473" spans="1:29">
      <c r="A473">
        <v>466</v>
      </c>
      <c r="B473">
        <v>2277</v>
      </c>
      <c r="C473" t="s">
        <v>1192</v>
      </c>
      <c r="D473" t="s">
        <v>210</v>
      </c>
      <c r="E473" t="s">
        <v>187</v>
      </c>
      <c r="F473" t="s">
        <v>1193</v>
      </c>
      <c r="G473" t="str">
        <f>"00480158"</f>
        <v>00480158</v>
      </c>
      <c r="H473">
        <v>29.6</v>
      </c>
      <c r="I473">
        <v>0</v>
      </c>
      <c r="L473">
        <v>4</v>
      </c>
      <c r="M473">
        <v>4</v>
      </c>
      <c r="N473">
        <v>4</v>
      </c>
      <c r="O473">
        <v>2</v>
      </c>
      <c r="P473">
        <v>39.6</v>
      </c>
      <c r="Q473">
        <v>62</v>
      </c>
      <c r="R473">
        <v>62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62</v>
      </c>
      <c r="Z473">
        <v>6</v>
      </c>
      <c r="AA473">
        <v>0</v>
      </c>
      <c r="AC473">
        <v>107.6</v>
      </c>
    </row>
    <row r="474" spans="1:29">
      <c r="A474">
        <v>467</v>
      </c>
      <c r="B474">
        <v>1372</v>
      </c>
      <c r="C474" t="s">
        <v>1194</v>
      </c>
      <c r="D474" t="s">
        <v>167</v>
      </c>
      <c r="E474" t="s">
        <v>237</v>
      </c>
      <c r="F474" t="s">
        <v>1195</v>
      </c>
      <c r="G474" t="str">
        <f>"00522658"</f>
        <v>00522658</v>
      </c>
      <c r="H474">
        <v>57.6</v>
      </c>
      <c r="I474">
        <v>0</v>
      </c>
      <c r="L474">
        <v>4</v>
      </c>
      <c r="M474">
        <v>4</v>
      </c>
      <c r="N474">
        <v>4</v>
      </c>
      <c r="O474">
        <v>2</v>
      </c>
      <c r="P474">
        <v>67.599999999999994</v>
      </c>
      <c r="Q474">
        <v>37</v>
      </c>
      <c r="R474">
        <v>37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37</v>
      </c>
      <c r="Z474">
        <v>3</v>
      </c>
      <c r="AA474">
        <v>0</v>
      </c>
      <c r="AC474">
        <v>107.6</v>
      </c>
    </row>
    <row r="475" spans="1:29">
      <c r="A475">
        <v>468</v>
      </c>
      <c r="B475">
        <v>758</v>
      </c>
      <c r="C475" t="s">
        <v>1196</v>
      </c>
      <c r="D475" t="s">
        <v>394</v>
      </c>
      <c r="E475" t="s">
        <v>1020</v>
      </c>
      <c r="F475" t="s">
        <v>1197</v>
      </c>
      <c r="G475" t="str">
        <f>"00503713"</f>
        <v>00503713</v>
      </c>
      <c r="H475">
        <v>21.6</v>
      </c>
      <c r="I475">
        <v>0</v>
      </c>
      <c r="L475">
        <v>8</v>
      </c>
      <c r="M475">
        <v>8</v>
      </c>
      <c r="N475">
        <v>4</v>
      </c>
      <c r="O475">
        <v>2</v>
      </c>
      <c r="P475">
        <v>35.6</v>
      </c>
      <c r="Q475">
        <v>69</v>
      </c>
      <c r="R475">
        <v>69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69</v>
      </c>
      <c r="Z475">
        <v>3</v>
      </c>
      <c r="AA475">
        <v>0</v>
      </c>
      <c r="AC475">
        <v>107.6</v>
      </c>
    </row>
    <row r="476" spans="1:29">
      <c r="A476">
        <v>469</v>
      </c>
      <c r="B476">
        <v>1521</v>
      </c>
      <c r="C476" t="s">
        <v>1198</v>
      </c>
      <c r="D476" t="s">
        <v>784</v>
      </c>
      <c r="E476" t="s">
        <v>79</v>
      </c>
      <c r="F476" t="s">
        <v>1199</v>
      </c>
      <c r="G476" t="str">
        <f>"201511029563"</f>
        <v>201511029563</v>
      </c>
      <c r="H476">
        <v>37.44</v>
      </c>
      <c r="I476">
        <v>0</v>
      </c>
      <c r="M476">
        <v>0</v>
      </c>
      <c r="N476">
        <v>4</v>
      </c>
      <c r="O476">
        <v>2</v>
      </c>
      <c r="P476">
        <v>43.44</v>
      </c>
      <c r="Q476">
        <v>61</v>
      </c>
      <c r="R476">
        <v>61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61</v>
      </c>
      <c r="Z476">
        <v>3</v>
      </c>
      <c r="AA476">
        <v>0</v>
      </c>
      <c r="AC476">
        <v>107.44</v>
      </c>
    </row>
    <row r="477" spans="1:29">
      <c r="A477">
        <v>470</v>
      </c>
      <c r="B477">
        <v>3014</v>
      </c>
      <c r="C477" t="s">
        <v>1200</v>
      </c>
      <c r="D477" t="s">
        <v>95</v>
      </c>
      <c r="E477" t="s">
        <v>15</v>
      </c>
      <c r="F477" t="s">
        <v>1201</v>
      </c>
      <c r="G477" t="str">
        <f>"00532884"</f>
        <v>00532884</v>
      </c>
      <c r="H477">
        <v>14.4</v>
      </c>
      <c r="I477">
        <v>0</v>
      </c>
      <c r="L477">
        <v>4</v>
      </c>
      <c r="M477">
        <v>4</v>
      </c>
      <c r="N477">
        <v>4</v>
      </c>
      <c r="O477">
        <v>0</v>
      </c>
      <c r="P477">
        <v>22.4</v>
      </c>
      <c r="Q477">
        <v>79</v>
      </c>
      <c r="R477">
        <v>79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79</v>
      </c>
      <c r="Z477">
        <v>6</v>
      </c>
      <c r="AA477">
        <v>0</v>
      </c>
      <c r="AC477">
        <v>107.4</v>
      </c>
    </row>
    <row r="478" spans="1:29">
      <c r="A478">
        <v>471</v>
      </c>
      <c r="B478">
        <v>45</v>
      </c>
      <c r="C478" t="s">
        <v>1202</v>
      </c>
      <c r="D478" t="s">
        <v>205</v>
      </c>
      <c r="E478" t="s">
        <v>156</v>
      </c>
      <c r="F478" t="s">
        <v>1203</v>
      </c>
      <c r="G478" t="str">
        <f>"00499175"</f>
        <v>00499175</v>
      </c>
      <c r="H478">
        <v>50.4</v>
      </c>
      <c r="I478">
        <v>0</v>
      </c>
      <c r="J478">
        <v>8</v>
      </c>
      <c r="M478">
        <v>8</v>
      </c>
      <c r="N478">
        <v>4</v>
      </c>
      <c r="O478">
        <v>2</v>
      </c>
      <c r="P478">
        <v>64.400000000000006</v>
      </c>
      <c r="Q478">
        <v>43</v>
      </c>
      <c r="R478">
        <v>43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43</v>
      </c>
      <c r="Z478">
        <v>0</v>
      </c>
      <c r="AA478">
        <v>0</v>
      </c>
      <c r="AC478">
        <v>107.4</v>
      </c>
    </row>
    <row r="479" spans="1:29">
      <c r="A479">
        <v>472</v>
      </c>
      <c r="B479">
        <v>3576</v>
      </c>
      <c r="C479" t="s">
        <v>1204</v>
      </c>
      <c r="D479" t="s">
        <v>1205</v>
      </c>
      <c r="E479" t="s">
        <v>99</v>
      </c>
      <c r="F479" t="s">
        <v>1206</v>
      </c>
      <c r="G479" t="str">
        <f>"00514111"</f>
        <v>00514111</v>
      </c>
      <c r="H479">
        <v>50.4</v>
      </c>
      <c r="I479">
        <v>0</v>
      </c>
      <c r="L479">
        <v>4</v>
      </c>
      <c r="M479">
        <v>4</v>
      </c>
      <c r="N479">
        <v>4</v>
      </c>
      <c r="O479">
        <v>2</v>
      </c>
      <c r="P479">
        <v>60.4</v>
      </c>
      <c r="Q479">
        <v>47</v>
      </c>
      <c r="R479">
        <v>47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47</v>
      </c>
      <c r="Z479">
        <v>0</v>
      </c>
      <c r="AA479">
        <v>0</v>
      </c>
      <c r="AC479">
        <v>107.4</v>
      </c>
    </row>
    <row r="480" spans="1:29">
      <c r="A480">
        <v>473</v>
      </c>
      <c r="B480">
        <v>3332</v>
      </c>
      <c r="C480" t="s">
        <v>1207</v>
      </c>
      <c r="D480" t="s">
        <v>1208</v>
      </c>
      <c r="E480" t="s">
        <v>66</v>
      </c>
      <c r="F480" t="s">
        <v>1209</v>
      </c>
      <c r="G480" t="str">
        <f>"00474045"</f>
        <v>00474045</v>
      </c>
      <c r="H480">
        <v>14.4</v>
      </c>
      <c r="I480">
        <v>10</v>
      </c>
      <c r="L480">
        <v>4</v>
      </c>
      <c r="M480">
        <v>4</v>
      </c>
      <c r="N480">
        <v>4</v>
      </c>
      <c r="O480">
        <v>0</v>
      </c>
      <c r="P480">
        <v>32.4</v>
      </c>
      <c r="Q480">
        <v>75</v>
      </c>
      <c r="R480">
        <v>75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75</v>
      </c>
      <c r="Z480">
        <v>0</v>
      </c>
      <c r="AA480">
        <v>0</v>
      </c>
      <c r="AC480">
        <v>107.4</v>
      </c>
    </row>
    <row r="481" spans="1:29">
      <c r="A481">
        <v>474</v>
      </c>
      <c r="B481">
        <v>3769</v>
      </c>
      <c r="C481" t="s">
        <v>1210</v>
      </c>
      <c r="D481" t="s">
        <v>1211</v>
      </c>
      <c r="E481" t="s">
        <v>134</v>
      </c>
      <c r="F481" t="s">
        <v>1212</v>
      </c>
      <c r="G481" t="str">
        <f>"00530146"</f>
        <v>00530146</v>
      </c>
      <c r="H481">
        <v>24.36</v>
      </c>
      <c r="I481">
        <v>0</v>
      </c>
      <c r="L481">
        <v>4</v>
      </c>
      <c r="M481">
        <v>4</v>
      </c>
      <c r="N481">
        <v>4</v>
      </c>
      <c r="O481">
        <v>2</v>
      </c>
      <c r="P481">
        <v>34.36</v>
      </c>
      <c r="Q481">
        <v>73</v>
      </c>
      <c r="R481">
        <v>73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73</v>
      </c>
      <c r="Z481">
        <v>0</v>
      </c>
      <c r="AA481">
        <v>0</v>
      </c>
      <c r="AC481">
        <v>107.36</v>
      </c>
    </row>
    <row r="482" spans="1:29">
      <c r="A482">
        <v>475</v>
      </c>
      <c r="B482">
        <v>429</v>
      </c>
      <c r="C482" t="s">
        <v>1213</v>
      </c>
      <c r="D482" t="s">
        <v>20</v>
      </c>
      <c r="E482" t="s">
        <v>15</v>
      </c>
      <c r="F482" t="s">
        <v>1214</v>
      </c>
      <c r="G482" t="str">
        <f>"00263822"</f>
        <v>00263822</v>
      </c>
      <c r="H482">
        <v>43.2</v>
      </c>
      <c r="I482">
        <v>10</v>
      </c>
      <c r="J482">
        <v>8</v>
      </c>
      <c r="M482">
        <v>8</v>
      </c>
      <c r="N482">
        <v>0</v>
      </c>
      <c r="O482">
        <v>2</v>
      </c>
      <c r="P482">
        <v>63.2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6</v>
      </c>
      <c r="AA482">
        <v>38</v>
      </c>
      <c r="AC482">
        <v>107.2</v>
      </c>
    </row>
    <row r="483" spans="1:29">
      <c r="A483">
        <v>476</v>
      </c>
      <c r="B483">
        <v>715</v>
      </c>
      <c r="C483" t="s">
        <v>1215</v>
      </c>
      <c r="D483" t="s">
        <v>35</v>
      </c>
      <c r="E483" t="s">
        <v>79</v>
      </c>
      <c r="F483" t="s">
        <v>1216</v>
      </c>
      <c r="G483" t="str">
        <f>"00520148"</f>
        <v>00520148</v>
      </c>
      <c r="H483">
        <v>43.2</v>
      </c>
      <c r="I483">
        <v>10</v>
      </c>
      <c r="M483">
        <v>0</v>
      </c>
      <c r="N483">
        <v>0</v>
      </c>
      <c r="O483">
        <v>0</v>
      </c>
      <c r="P483">
        <v>53.2</v>
      </c>
      <c r="Q483">
        <v>45</v>
      </c>
      <c r="R483">
        <v>45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45</v>
      </c>
      <c r="Z483">
        <v>9</v>
      </c>
      <c r="AA483">
        <v>0</v>
      </c>
      <c r="AC483">
        <v>107.2</v>
      </c>
    </row>
    <row r="484" spans="1:29">
      <c r="A484">
        <v>477</v>
      </c>
      <c r="B484">
        <v>3863</v>
      </c>
      <c r="C484" t="s">
        <v>1217</v>
      </c>
      <c r="D484" t="s">
        <v>31</v>
      </c>
      <c r="E484" t="s">
        <v>18</v>
      </c>
      <c r="F484" t="s">
        <v>1218</v>
      </c>
      <c r="G484" t="str">
        <f>"00501072"</f>
        <v>00501072</v>
      </c>
      <c r="H484">
        <v>43.2</v>
      </c>
      <c r="I484">
        <v>0</v>
      </c>
      <c r="M484">
        <v>0</v>
      </c>
      <c r="N484">
        <v>4</v>
      </c>
      <c r="O484">
        <v>2</v>
      </c>
      <c r="P484">
        <v>49.2</v>
      </c>
      <c r="Q484">
        <v>55</v>
      </c>
      <c r="R484">
        <v>55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55</v>
      </c>
      <c r="Z484">
        <v>3</v>
      </c>
      <c r="AA484">
        <v>0</v>
      </c>
      <c r="AC484">
        <v>107.2</v>
      </c>
    </row>
    <row r="485" spans="1:29">
      <c r="A485">
        <v>478</v>
      </c>
      <c r="B485">
        <v>1178</v>
      </c>
      <c r="C485" t="s">
        <v>1219</v>
      </c>
      <c r="D485" t="s">
        <v>1220</v>
      </c>
      <c r="E485" t="s">
        <v>156</v>
      </c>
      <c r="F485" t="s">
        <v>1221</v>
      </c>
      <c r="G485" t="str">
        <f>"00189412"</f>
        <v>00189412</v>
      </c>
      <c r="H485">
        <v>37.159999999999997</v>
      </c>
      <c r="I485">
        <v>0</v>
      </c>
      <c r="L485">
        <v>4</v>
      </c>
      <c r="M485">
        <v>4</v>
      </c>
      <c r="N485">
        <v>4</v>
      </c>
      <c r="O485">
        <v>2</v>
      </c>
      <c r="P485">
        <v>47.16</v>
      </c>
      <c r="Q485">
        <v>51</v>
      </c>
      <c r="R485">
        <v>51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51</v>
      </c>
      <c r="Z485">
        <v>9</v>
      </c>
      <c r="AA485">
        <v>0</v>
      </c>
      <c r="AC485">
        <v>107.16</v>
      </c>
    </row>
    <row r="486" spans="1:29">
      <c r="A486">
        <v>479</v>
      </c>
      <c r="B486">
        <v>3331</v>
      </c>
      <c r="C486" t="s">
        <v>1222</v>
      </c>
      <c r="D486" t="s">
        <v>159</v>
      </c>
      <c r="E486" t="s">
        <v>1223</v>
      </c>
      <c r="F486" t="s">
        <v>1224</v>
      </c>
      <c r="G486" t="str">
        <f>"201511019867"</f>
        <v>201511019867</v>
      </c>
      <c r="H486">
        <v>29.08</v>
      </c>
      <c r="I486">
        <v>10</v>
      </c>
      <c r="M486">
        <v>0</v>
      </c>
      <c r="N486">
        <v>4</v>
      </c>
      <c r="O486">
        <v>2</v>
      </c>
      <c r="P486">
        <v>45.08</v>
      </c>
      <c r="Q486">
        <v>62</v>
      </c>
      <c r="R486">
        <v>62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62</v>
      </c>
      <c r="Z486">
        <v>0</v>
      </c>
      <c r="AA486">
        <v>0</v>
      </c>
      <c r="AC486">
        <v>107.08</v>
      </c>
    </row>
    <row r="487" spans="1:29">
      <c r="A487">
        <v>480</v>
      </c>
      <c r="B487">
        <v>376</v>
      </c>
      <c r="C487" t="s">
        <v>1225</v>
      </c>
      <c r="D487" t="s">
        <v>159</v>
      </c>
      <c r="E487" t="s">
        <v>134</v>
      </c>
      <c r="F487" t="s">
        <v>1226</v>
      </c>
      <c r="G487" t="str">
        <f>"00530738"</f>
        <v>00530738</v>
      </c>
      <c r="H487">
        <v>36</v>
      </c>
      <c r="I487">
        <v>0</v>
      </c>
      <c r="M487">
        <v>0</v>
      </c>
      <c r="N487">
        <v>0</v>
      </c>
      <c r="O487">
        <v>0</v>
      </c>
      <c r="P487">
        <v>36</v>
      </c>
      <c r="Q487">
        <v>36</v>
      </c>
      <c r="R487">
        <v>36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36</v>
      </c>
      <c r="Z487">
        <v>3</v>
      </c>
      <c r="AA487">
        <v>32</v>
      </c>
      <c r="AC487">
        <v>107</v>
      </c>
    </row>
    <row r="488" spans="1:29">
      <c r="A488">
        <v>481</v>
      </c>
      <c r="B488">
        <v>675</v>
      </c>
      <c r="C488" t="s">
        <v>519</v>
      </c>
      <c r="D488" t="s">
        <v>20</v>
      </c>
      <c r="E488" t="s">
        <v>36</v>
      </c>
      <c r="F488" t="s">
        <v>1227</v>
      </c>
      <c r="G488" t="str">
        <f>"00530127"</f>
        <v>00530127</v>
      </c>
      <c r="H488">
        <v>36</v>
      </c>
      <c r="I488">
        <v>10</v>
      </c>
      <c r="L488">
        <v>4</v>
      </c>
      <c r="M488">
        <v>4</v>
      </c>
      <c r="N488">
        <v>0</v>
      </c>
      <c r="O488">
        <v>2</v>
      </c>
      <c r="P488">
        <v>52</v>
      </c>
      <c r="Q488">
        <v>55</v>
      </c>
      <c r="R488">
        <v>55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55</v>
      </c>
      <c r="Z488">
        <v>0</v>
      </c>
      <c r="AA488">
        <v>0</v>
      </c>
      <c r="AC488">
        <v>107</v>
      </c>
    </row>
    <row r="489" spans="1:29">
      <c r="A489">
        <v>482</v>
      </c>
      <c r="B489">
        <v>1016</v>
      </c>
      <c r="C489" t="s">
        <v>1228</v>
      </c>
      <c r="D489" t="s">
        <v>1229</v>
      </c>
      <c r="E489" t="s">
        <v>36</v>
      </c>
      <c r="F489" t="s">
        <v>1230</v>
      </c>
      <c r="G489" t="str">
        <f>"201507002988"</f>
        <v>201507002988</v>
      </c>
      <c r="H489">
        <v>36</v>
      </c>
      <c r="I489">
        <v>0</v>
      </c>
      <c r="L489">
        <v>4</v>
      </c>
      <c r="M489">
        <v>4</v>
      </c>
      <c r="N489">
        <v>4</v>
      </c>
      <c r="O489">
        <v>2</v>
      </c>
      <c r="P489">
        <v>46</v>
      </c>
      <c r="Q489">
        <v>61</v>
      </c>
      <c r="R489">
        <v>61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61</v>
      </c>
      <c r="Z489">
        <v>0</v>
      </c>
      <c r="AA489">
        <v>0</v>
      </c>
      <c r="AC489">
        <v>107</v>
      </c>
    </row>
    <row r="490" spans="1:29">
      <c r="A490">
        <v>483</v>
      </c>
      <c r="B490">
        <v>737</v>
      </c>
      <c r="C490" t="s">
        <v>1231</v>
      </c>
      <c r="D490" t="s">
        <v>343</v>
      </c>
      <c r="E490" t="s">
        <v>66</v>
      </c>
      <c r="F490" t="s">
        <v>1232</v>
      </c>
      <c r="G490" t="str">
        <f>"00442135"</f>
        <v>00442135</v>
      </c>
      <c r="H490">
        <v>26</v>
      </c>
      <c r="I490">
        <v>10</v>
      </c>
      <c r="L490">
        <v>4</v>
      </c>
      <c r="M490">
        <v>4</v>
      </c>
      <c r="N490">
        <v>4</v>
      </c>
      <c r="O490">
        <v>2</v>
      </c>
      <c r="P490">
        <v>46</v>
      </c>
      <c r="Q490">
        <v>61</v>
      </c>
      <c r="R490">
        <v>61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61</v>
      </c>
      <c r="Z490">
        <v>0</v>
      </c>
      <c r="AA490">
        <v>0</v>
      </c>
      <c r="AC490">
        <v>107</v>
      </c>
    </row>
    <row r="491" spans="1:29">
      <c r="A491">
        <v>484</v>
      </c>
      <c r="B491">
        <v>3642</v>
      </c>
      <c r="C491" t="s">
        <v>195</v>
      </c>
      <c r="D491" t="s">
        <v>185</v>
      </c>
      <c r="E491" t="s">
        <v>15</v>
      </c>
      <c r="F491" t="s">
        <v>1233</v>
      </c>
      <c r="G491" t="str">
        <f>"00162561"</f>
        <v>00162561</v>
      </c>
      <c r="H491">
        <v>34.92</v>
      </c>
      <c r="I491">
        <v>0</v>
      </c>
      <c r="L491">
        <v>4</v>
      </c>
      <c r="M491">
        <v>4</v>
      </c>
      <c r="N491">
        <v>4</v>
      </c>
      <c r="O491">
        <v>2</v>
      </c>
      <c r="P491">
        <v>44.92</v>
      </c>
      <c r="Q491">
        <v>62</v>
      </c>
      <c r="R491">
        <v>62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62</v>
      </c>
      <c r="Z491">
        <v>0</v>
      </c>
      <c r="AA491">
        <v>0</v>
      </c>
      <c r="AC491">
        <v>106.92</v>
      </c>
    </row>
    <row r="492" spans="1:29">
      <c r="A492">
        <v>485</v>
      </c>
      <c r="B492">
        <v>894</v>
      </c>
      <c r="C492" t="s">
        <v>1234</v>
      </c>
      <c r="D492" t="s">
        <v>1235</v>
      </c>
      <c r="E492" t="s">
        <v>1236</v>
      </c>
      <c r="F492" t="s">
        <v>1237</v>
      </c>
      <c r="G492" t="str">
        <f>"00531523"</f>
        <v>00531523</v>
      </c>
      <c r="H492">
        <v>28.8</v>
      </c>
      <c r="I492">
        <v>0</v>
      </c>
      <c r="J492">
        <v>8</v>
      </c>
      <c r="M492">
        <v>8</v>
      </c>
      <c r="N492">
        <v>4</v>
      </c>
      <c r="O492">
        <v>2</v>
      </c>
      <c r="P492">
        <v>42.8</v>
      </c>
      <c r="Q492">
        <v>61</v>
      </c>
      <c r="R492">
        <v>61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61</v>
      </c>
      <c r="Z492">
        <v>3</v>
      </c>
      <c r="AA492">
        <v>0</v>
      </c>
      <c r="AC492">
        <v>106.8</v>
      </c>
    </row>
    <row r="493" spans="1:29">
      <c r="A493">
        <v>486</v>
      </c>
      <c r="B493">
        <v>952</v>
      </c>
      <c r="C493" t="s">
        <v>1238</v>
      </c>
      <c r="D493" t="s">
        <v>164</v>
      </c>
      <c r="E493" t="s">
        <v>647</v>
      </c>
      <c r="F493" t="s">
        <v>1239</v>
      </c>
      <c r="G493" t="str">
        <f>"201406017996"</f>
        <v>201406017996</v>
      </c>
      <c r="H493">
        <v>64.8</v>
      </c>
      <c r="I493">
        <v>0</v>
      </c>
      <c r="J493">
        <v>8</v>
      </c>
      <c r="M493">
        <v>8</v>
      </c>
      <c r="N493">
        <v>4</v>
      </c>
      <c r="O493">
        <v>2</v>
      </c>
      <c r="P493">
        <v>78.8</v>
      </c>
      <c r="Q493">
        <v>28</v>
      </c>
      <c r="R493">
        <v>28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28</v>
      </c>
      <c r="Z493">
        <v>0</v>
      </c>
      <c r="AA493">
        <v>0</v>
      </c>
      <c r="AC493">
        <v>106.8</v>
      </c>
    </row>
    <row r="494" spans="1:29">
      <c r="A494">
        <v>487</v>
      </c>
      <c r="B494">
        <v>3265</v>
      </c>
      <c r="C494" t="s">
        <v>351</v>
      </c>
      <c r="D494" t="s">
        <v>1240</v>
      </c>
      <c r="E494" t="s">
        <v>66</v>
      </c>
      <c r="F494" t="s">
        <v>1241</v>
      </c>
      <c r="G494" t="str">
        <f>"00533475"</f>
        <v>00533475</v>
      </c>
      <c r="H494">
        <v>64.8</v>
      </c>
      <c r="I494">
        <v>0</v>
      </c>
      <c r="M494">
        <v>0</v>
      </c>
      <c r="N494">
        <v>4</v>
      </c>
      <c r="O494">
        <v>2</v>
      </c>
      <c r="P494">
        <v>70.8</v>
      </c>
      <c r="Q494">
        <v>36</v>
      </c>
      <c r="R494">
        <v>36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36</v>
      </c>
      <c r="Z494">
        <v>0</v>
      </c>
      <c r="AA494">
        <v>0</v>
      </c>
      <c r="AC494">
        <v>106.8</v>
      </c>
    </row>
    <row r="495" spans="1:29">
      <c r="A495">
        <v>488</v>
      </c>
      <c r="B495">
        <v>2409</v>
      </c>
      <c r="C495" t="s">
        <v>1242</v>
      </c>
      <c r="D495" t="s">
        <v>159</v>
      </c>
      <c r="E495" t="s">
        <v>122</v>
      </c>
      <c r="F495" t="s">
        <v>1243</v>
      </c>
      <c r="G495" t="str">
        <f>"00513374"</f>
        <v>00513374</v>
      </c>
      <c r="H495">
        <v>39.72</v>
      </c>
      <c r="I495">
        <v>10</v>
      </c>
      <c r="J495">
        <v>8</v>
      </c>
      <c r="M495">
        <v>8</v>
      </c>
      <c r="N495">
        <v>4</v>
      </c>
      <c r="O495">
        <v>2</v>
      </c>
      <c r="P495">
        <v>63.72</v>
      </c>
      <c r="Q495">
        <v>37</v>
      </c>
      <c r="R495">
        <v>37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37</v>
      </c>
      <c r="Z495">
        <v>6</v>
      </c>
      <c r="AA495">
        <v>0</v>
      </c>
      <c r="AC495">
        <v>106.72</v>
      </c>
    </row>
    <row r="496" spans="1:29">
      <c r="A496">
        <v>489</v>
      </c>
      <c r="B496">
        <v>210</v>
      </c>
      <c r="C496" t="s">
        <v>1244</v>
      </c>
      <c r="D496" t="s">
        <v>687</v>
      </c>
      <c r="E496" t="s">
        <v>322</v>
      </c>
      <c r="F496" t="s">
        <v>1245</v>
      </c>
      <c r="G496" t="str">
        <f>"00532361"</f>
        <v>00532361</v>
      </c>
      <c r="H496">
        <v>21.6</v>
      </c>
      <c r="I496">
        <v>10</v>
      </c>
      <c r="M496">
        <v>0</v>
      </c>
      <c r="N496">
        <v>4</v>
      </c>
      <c r="O496">
        <v>2</v>
      </c>
      <c r="P496">
        <v>37.6</v>
      </c>
      <c r="Q496">
        <v>69</v>
      </c>
      <c r="R496">
        <v>69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69</v>
      </c>
      <c r="Z496">
        <v>0</v>
      </c>
      <c r="AA496">
        <v>0</v>
      </c>
      <c r="AC496">
        <v>106.6</v>
      </c>
    </row>
    <row r="497" spans="1:29">
      <c r="A497">
        <v>490</v>
      </c>
      <c r="B497">
        <v>3472</v>
      </c>
      <c r="C497" t="s">
        <v>1246</v>
      </c>
      <c r="D497" t="s">
        <v>185</v>
      </c>
      <c r="E497" t="s">
        <v>122</v>
      </c>
      <c r="F497" t="s">
        <v>1247</v>
      </c>
      <c r="G497" t="str">
        <f>"00552689"</f>
        <v>00552689</v>
      </c>
      <c r="H497">
        <v>50.4</v>
      </c>
      <c r="I497">
        <v>10</v>
      </c>
      <c r="L497">
        <v>4</v>
      </c>
      <c r="M497">
        <v>4</v>
      </c>
      <c r="N497">
        <v>4</v>
      </c>
      <c r="O497">
        <v>0</v>
      </c>
      <c r="P497">
        <v>68.400000000000006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6</v>
      </c>
      <c r="AA497">
        <v>32</v>
      </c>
      <c r="AC497">
        <v>106.4</v>
      </c>
    </row>
    <row r="498" spans="1:29">
      <c r="A498">
        <v>491</v>
      </c>
      <c r="B498">
        <v>1639</v>
      </c>
      <c r="C498" t="s">
        <v>1248</v>
      </c>
      <c r="D498" t="s">
        <v>24</v>
      </c>
      <c r="E498" t="s">
        <v>18</v>
      </c>
      <c r="F498" t="s">
        <v>1249</v>
      </c>
      <c r="G498" t="str">
        <f>"00525349"</f>
        <v>00525349</v>
      </c>
      <c r="H498">
        <v>14.4</v>
      </c>
      <c r="I498">
        <v>10</v>
      </c>
      <c r="J498">
        <v>8</v>
      </c>
      <c r="M498">
        <v>8</v>
      </c>
      <c r="N498">
        <v>4</v>
      </c>
      <c r="O498">
        <v>2</v>
      </c>
      <c r="P498">
        <v>38.4</v>
      </c>
      <c r="Q498">
        <v>62</v>
      </c>
      <c r="R498">
        <v>62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62</v>
      </c>
      <c r="Z498">
        <v>6</v>
      </c>
      <c r="AA498">
        <v>0</v>
      </c>
      <c r="AC498">
        <v>106.4</v>
      </c>
    </row>
    <row r="499" spans="1:29">
      <c r="A499">
        <v>492</v>
      </c>
      <c r="B499">
        <v>1386</v>
      </c>
      <c r="C499" t="s">
        <v>1250</v>
      </c>
      <c r="D499" t="s">
        <v>418</v>
      </c>
      <c r="E499" t="s">
        <v>66</v>
      </c>
      <c r="F499" t="s">
        <v>1251</v>
      </c>
      <c r="G499" t="str">
        <f>"00529937"</f>
        <v>00529937</v>
      </c>
      <c r="H499">
        <v>50.4</v>
      </c>
      <c r="I499">
        <v>10</v>
      </c>
      <c r="J499">
        <v>8</v>
      </c>
      <c r="M499">
        <v>8</v>
      </c>
      <c r="N499">
        <v>4</v>
      </c>
      <c r="O499">
        <v>2</v>
      </c>
      <c r="P499">
        <v>74.400000000000006</v>
      </c>
      <c r="Q499">
        <v>32</v>
      </c>
      <c r="R499">
        <v>32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32</v>
      </c>
      <c r="Z499">
        <v>0</v>
      </c>
      <c r="AA499">
        <v>0</v>
      </c>
      <c r="AC499">
        <v>106.4</v>
      </c>
    </row>
    <row r="500" spans="1:29">
      <c r="A500">
        <v>493</v>
      </c>
      <c r="B500">
        <v>3911</v>
      </c>
      <c r="C500" t="s">
        <v>1252</v>
      </c>
      <c r="D500" t="s">
        <v>27</v>
      </c>
      <c r="E500" t="s">
        <v>322</v>
      </c>
      <c r="F500" t="s">
        <v>1253</v>
      </c>
      <c r="G500" t="str">
        <f>"00510504"</f>
        <v>00510504</v>
      </c>
      <c r="H500">
        <v>29.32</v>
      </c>
      <c r="I500">
        <v>0</v>
      </c>
      <c r="M500">
        <v>0</v>
      </c>
      <c r="N500">
        <v>4</v>
      </c>
      <c r="O500">
        <v>0</v>
      </c>
      <c r="P500">
        <v>33.32</v>
      </c>
      <c r="Q500">
        <v>73</v>
      </c>
      <c r="R500">
        <v>73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73</v>
      </c>
      <c r="Z500">
        <v>0</v>
      </c>
      <c r="AA500">
        <v>0</v>
      </c>
      <c r="AC500">
        <v>106.32</v>
      </c>
    </row>
    <row r="501" spans="1:29">
      <c r="A501">
        <v>494</v>
      </c>
      <c r="B501">
        <v>1207</v>
      </c>
      <c r="C501" t="s">
        <v>1254</v>
      </c>
      <c r="D501" t="s">
        <v>554</v>
      </c>
      <c r="E501" t="s">
        <v>187</v>
      </c>
      <c r="F501" t="s">
        <v>1255</v>
      </c>
      <c r="G501" t="str">
        <f>"00520293"</f>
        <v>00520293</v>
      </c>
      <c r="H501">
        <v>43.2</v>
      </c>
      <c r="I501">
        <v>10</v>
      </c>
      <c r="J501">
        <v>8</v>
      </c>
      <c r="M501">
        <v>8</v>
      </c>
      <c r="N501">
        <v>4</v>
      </c>
      <c r="O501">
        <v>2</v>
      </c>
      <c r="P501">
        <v>67.2</v>
      </c>
      <c r="Q501">
        <v>33</v>
      </c>
      <c r="R501">
        <v>33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33</v>
      </c>
      <c r="Z501">
        <v>6</v>
      </c>
      <c r="AA501">
        <v>0</v>
      </c>
      <c r="AC501">
        <v>106.2</v>
      </c>
    </row>
    <row r="502" spans="1:29">
      <c r="A502">
        <v>495</v>
      </c>
      <c r="B502">
        <v>3855</v>
      </c>
      <c r="C502" t="s">
        <v>1256</v>
      </c>
      <c r="D502" t="s">
        <v>418</v>
      </c>
      <c r="E502" t="s">
        <v>79</v>
      </c>
      <c r="F502" t="s">
        <v>1257</v>
      </c>
      <c r="G502" t="str">
        <f>"00122512"</f>
        <v>00122512</v>
      </c>
      <c r="H502">
        <v>43.2</v>
      </c>
      <c r="I502">
        <v>0</v>
      </c>
      <c r="J502">
        <v>16</v>
      </c>
      <c r="M502">
        <v>16</v>
      </c>
      <c r="N502">
        <v>4</v>
      </c>
      <c r="O502">
        <v>2</v>
      </c>
      <c r="P502">
        <v>65.2</v>
      </c>
      <c r="Q502">
        <v>35</v>
      </c>
      <c r="R502">
        <v>35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35</v>
      </c>
      <c r="Z502">
        <v>6</v>
      </c>
      <c r="AA502">
        <v>0</v>
      </c>
      <c r="AC502">
        <v>106.2</v>
      </c>
    </row>
    <row r="503" spans="1:29">
      <c r="A503">
        <v>496</v>
      </c>
      <c r="B503">
        <v>1367</v>
      </c>
      <c r="C503" t="s">
        <v>1258</v>
      </c>
      <c r="D503" t="s">
        <v>39</v>
      </c>
      <c r="E503" t="s">
        <v>15</v>
      </c>
      <c r="F503" t="s">
        <v>1259</v>
      </c>
      <c r="G503" t="str">
        <f>"00507009"</f>
        <v>00507009</v>
      </c>
      <c r="H503">
        <v>34</v>
      </c>
      <c r="I503">
        <v>0</v>
      </c>
      <c r="M503">
        <v>0</v>
      </c>
      <c r="N503">
        <v>4</v>
      </c>
      <c r="O503">
        <v>0</v>
      </c>
      <c r="P503">
        <v>38</v>
      </c>
      <c r="Q503">
        <v>62</v>
      </c>
      <c r="R503">
        <v>62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62</v>
      </c>
      <c r="Z503">
        <v>6</v>
      </c>
      <c r="AA503">
        <v>0</v>
      </c>
      <c r="AC503">
        <v>106</v>
      </c>
    </row>
    <row r="504" spans="1:29">
      <c r="A504">
        <v>497</v>
      </c>
      <c r="B504">
        <v>4368</v>
      </c>
      <c r="C504" t="s">
        <v>1260</v>
      </c>
      <c r="D504" t="s">
        <v>185</v>
      </c>
      <c r="E504" t="s">
        <v>60</v>
      </c>
      <c r="F504" t="s">
        <v>1261</v>
      </c>
      <c r="G504" t="str">
        <f>"00530817"</f>
        <v>00530817</v>
      </c>
      <c r="H504">
        <v>36</v>
      </c>
      <c r="I504">
        <v>10</v>
      </c>
      <c r="J504">
        <v>8</v>
      </c>
      <c r="M504">
        <v>8</v>
      </c>
      <c r="N504">
        <v>4</v>
      </c>
      <c r="O504">
        <v>2</v>
      </c>
      <c r="P504">
        <v>60</v>
      </c>
      <c r="Q504">
        <v>46</v>
      </c>
      <c r="R504">
        <v>46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46</v>
      </c>
      <c r="Z504">
        <v>0</v>
      </c>
      <c r="AA504">
        <v>0</v>
      </c>
      <c r="AC504">
        <v>106</v>
      </c>
    </row>
    <row r="505" spans="1:29">
      <c r="A505">
        <v>498</v>
      </c>
      <c r="B505">
        <v>3689</v>
      </c>
      <c r="C505" t="s">
        <v>1262</v>
      </c>
      <c r="D505" t="s">
        <v>1263</v>
      </c>
      <c r="E505" t="s">
        <v>156</v>
      </c>
      <c r="F505" t="s">
        <v>1264</v>
      </c>
      <c r="G505" t="str">
        <f>"00148418"</f>
        <v>00148418</v>
      </c>
      <c r="H505">
        <v>36</v>
      </c>
      <c r="I505">
        <v>10</v>
      </c>
      <c r="L505">
        <v>4</v>
      </c>
      <c r="M505">
        <v>4</v>
      </c>
      <c r="N505">
        <v>4</v>
      </c>
      <c r="O505">
        <v>0</v>
      </c>
      <c r="P505">
        <v>54</v>
      </c>
      <c r="Q505">
        <v>52</v>
      </c>
      <c r="R505">
        <v>52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52</v>
      </c>
      <c r="Z505">
        <v>0</v>
      </c>
      <c r="AA505">
        <v>0</v>
      </c>
      <c r="AC505">
        <v>106</v>
      </c>
    </row>
    <row r="506" spans="1:29">
      <c r="A506">
        <v>499</v>
      </c>
      <c r="B506">
        <v>3796</v>
      </c>
      <c r="C506" t="s">
        <v>1265</v>
      </c>
      <c r="D506" t="s">
        <v>20</v>
      </c>
      <c r="E506" t="s">
        <v>156</v>
      </c>
      <c r="F506" t="s">
        <v>1266</v>
      </c>
      <c r="G506" t="str">
        <f>"00507273"</f>
        <v>00507273</v>
      </c>
      <c r="H506">
        <v>64.8</v>
      </c>
      <c r="I506">
        <v>0</v>
      </c>
      <c r="J506">
        <v>8</v>
      </c>
      <c r="M506">
        <v>8</v>
      </c>
      <c r="N506">
        <v>4</v>
      </c>
      <c r="O506">
        <v>2</v>
      </c>
      <c r="P506">
        <v>78.8</v>
      </c>
      <c r="Q506">
        <v>18</v>
      </c>
      <c r="R506">
        <v>18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18</v>
      </c>
      <c r="Z506">
        <v>9</v>
      </c>
      <c r="AA506">
        <v>0</v>
      </c>
      <c r="AC506">
        <v>105.8</v>
      </c>
    </row>
    <row r="507" spans="1:29">
      <c r="A507">
        <v>500</v>
      </c>
      <c r="B507">
        <v>1373</v>
      </c>
      <c r="C507" t="s">
        <v>1267</v>
      </c>
      <c r="D507" t="s">
        <v>336</v>
      </c>
      <c r="E507" t="s">
        <v>647</v>
      </c>
      <c r="F507" t="s">
        <v>1268</v>
      </c>
      <c r="G507" t="str">
        <f>"00525888"</f>
        <v>00525888</v>
      </c>
      <c r="H507">
        <v>64.8</v>
      </c>
      <c r="I507">
        <v>10</v>
      </c>
      <c r="L507">
        <v>4</v>
      </c>
      <c r="M507">
        <v>4</v>
      </c>
      <c r="N507">
        <v>4</v>
      </c>
      <c r="O507">
        <v>2</v>
      </c>
      <c r="P507">
        <v>84.8</v>
      </c>
      <c r="Q507">
        <v>18</v>
      </c>
      <c r="R507">
        <v>18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18</v>
      </c>
      <c r="Z507">
        <v>3</v>
      </c>
      <c r="AA507">
        <v>0</v>
      </c>
      <c r="AC507">
        <v>105.8</v>
      </c>
    </row>
    <row r="508" spans="1:29">
      <c r="A508">
        <v>501</v>
      </c>
      <c r="B508">
        <v>2205</v>
      </c>
      <c r="C508" t="s">
        <v>1269</v>
      </c>
      <c r="D508" t="s">
        <v>35</v>
      </c>
      <c r="E508" t="s">
        <v>79</v>
      </c>
      <c r="F508" t="s">
        <v>1270</v>
      </c>
      <c r="G508" t="str">
        <f>"00503203"</f>
        <v>00503203</v>
      </c>
      <c r="H508">
        <v>34.68</v>
      </c>
      <c r="I508">
        <v>0</v>
      </c>
      <c r="L508">
        <v>4</v>
      </c>
      <c r="M508">
        <v>4</v>
      </c>
      <c r="N508">
        <v>4</v>
      </c>
      <c r="O508">
        <v>2</v>
      </c>
      <c r="P508">
        <v>44.68</v>
      </c>
      <c r="Q508">
        <v>55</v>
      </c>
      <c r="R508">
        <v>55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55</v>
      </c>
      <c r="Z508">
        <v>6</v>
      </c>
      <c r="AA508">
        <v>0</v>
      </c>
      <c r="AC508">
        <v>105.68</v>
      </c>
    </row>
    <row r="509" spans="1:29">
      <c r="A509">
        <v>502</v>
      </c>
      <c r="B509">
        <v>2353</v>
      </c>
      <c r="C509" t="s">
        <v>1271</v>
      </c>
      <c r="D509" t="s">
        <v>52</v>
      </c>
      <c r="E509" t="s">
        <v>1272</v>
      </c>
      <c r="F509" t="s">
        <v>1273</v>
      </c>
      <c r="G509" t="str">
        <f>"00500578"</f>
        <v>00500578</v>
      </c>
      <c r="H509">
        <v>31.56</v>
      </c>
      <c r="I509">
        <v>0</v>
      </c>
      <c r="M509">
        <v>0</v>
      </c>
      <c r="N509">
        <v>4</v>
      </c>
      <c r="O509">
        <v>0</v>
      </c>
      <c r="P509">
        <v>35.56</v>
      </c>
      <c r="Q509">
        <v>70</v>
      </c>
      <c r="R509">
        <v>70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70</v>
      </c>
      <c r="Z509">
        <v>0</v>
      </c>
      <c r="AA509">
        <v>0</v>
      </c>
      <c r="AC509">
        <v>105.56</v>
      </c>
    </row>
    <row r="510" spans="1:29">
      <c r="A510">
        <v>503</v>
      </c>
      <c r="B510">
        <v>4244</v>
      </c>
      <c r="C510" t="s">
        <v>1274</v>
      </c>
      <c r="D510" t="s">
        <v>1275</v>
      </c>
      <c r="E510" t="s">
        <v>15</v>
      </c>
      <c r="F510" t="s">
        <v>1276</v>
      </c>
      <c r="G510" t="str">
        <f>"00509768"</f>
        <v>00509768</v>
      </c>
      <c r="H510">
        <v>27.48</v>
      </c>
      <c r="I510">
        <v>10</v>
      </c>
      <c r="M510">
        <v>0</v>
      </c>
      <c r="N510">
        <v>4</v>
      </c>
      <c r="O510">
        <v>2</v>
      </c>
      <c r="P510">
        <v>43.48</v>
      </c>
      <c r="Q510">
        <v>62</v>
      </c>
      <c r="R510">
        <v>62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62</v>
      </c>
      <c r="Z510">
        <v>0</v>
      </c>
      <c r="AA510">
        <v>0</v>
      </c>
      <c r="AC510">
        <v>105.48</v>
      </c>
    </row>
    <row r="511" spans="1:29">
      <c r="A511">
        <v>504</v>
      </c>
      <c r="B511">
        <v>105</v>
      </c>
      <c r="C511" t="s">
        <v>1277</v>
      </c>
      <c r="D511" t="s">
        <v>1278</v>
      </c>
      <c r="E511" t="s">
        <v>66</v>
      </c>
      <c r="F511" t="s">
        <v>1279</v>
      </c>
      <c r="G511" t="str">
        <f>"00484587"</f>
        <v>00484587</v>
      </c>
      <c r="H511">
        <v>50.4</v>
      </c>
      <c r="I511">
        <v>0</v>
      </c>
      <c r="L511">
        <v>4</v>
      </c>
      <c r="M511">
        <v>4</v>
      </c>
      <c r="N511">
        <v>4</v>
      </c>
      <c r="O511">
        <v>0</v>
      </c>
      <c r="P511">
        <v>58.4</v>
      </c>
      <c r="Q511">
        <v>47</v>
      </c>
      <c r="R511">
        <v>47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47</v>
      </c>
      <c r="Z511">
        <v>0</v>
      </c>
      <c r="AA511">
        <v>0</v>
      </c>
      <c r="AC511">
        <v>105.4</v>
      </c>
    </row>
    <row r="512" spans="1:29">
      <c r="A512">
        <v>505</v>
      </c>
      <c r="B512">
        <v>820</v>
      </c>
      <c r="C512" t="s">
        <v>1280</v>
      </c>
      <c r="D512" t="s">
        <v>210</v>
      </c>
      <c r="E512" t="s">
        <v>621</v>
      </c>
      <c r="F512" t="s">
        <v>1281</v>
      </c>
      <c r="G512" t="str">
        <f>"00530227"</f>
        <v>00530227</v>
      </c>
      <c r="H512">
        <v>14.4</v>
      </c>
      <c r="I512">
        <v>0</v>
      </c>
      <c r="L512">
        <v>4</v>
      </c>
      <c r="M512">
        <v>4</v>
      </c>
      <c r="N512">
        <v>4</v>
      </c>
      <c r="O512">
        <v>2</v>
      </c>
      <c r="P512">
        <v>24.4</v>
      </c>
      <c r="Q512">
        <v>81</v>
      </c>
      <c r="R512">
        <v>81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81</v>
      </c>
      <c r="Z512">
        <v>0</v>
      </c>
      <c r="AA512">
        <v>0</v>
      </c>
      <c r="AC512">
        <v>105.4</v>
      </c>
    </row>
    <row r="513" spans="1:29">
      <c r="A513">
        <v>506</v>
      </c>
      <c r="B513">
        <v>2653</v>
      </c>
      <c r="C513" t="s">
        <v>1284</v>
      </c>
      <c r="D513" t="s">
        <v>205</v>
      </c>
      <c r="E513" t="s">
        <v>36</v>
      </c>
      <c r="F513" t="s">
        <v>1285</v>
      </c>
      <c r="G513" t="str">
        <f>"00511212"</f>
        <v>00511212</v>
      </c>
      <c r="H513">
        <v>38.24</v>
      </c>
      <c r="I513">
        <v>10</v>
      </c>
      <c r="M513">
        <v>0</v>
      </c>
      <c r="N513">
        <v>4</v>
      </c>
      <c r="O513">
        <v>0</v>
      </c>
      <c r="P513">
        <v>52.24</v>
      </c>
      <c r="Q513">
        <v>47</v>
      </c>
      <c r="R513">
        <v>47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47</v>
      </c>
      <c r="Z513">
        <v>6</v>
      </c>
      <c r="AA513">
        <v>0</v>
      </c>
      <c r="AC513">
        <v>105.24</v>
      </c>
    </row>
    <row r="514" spans="1:29">
      <c r="A514">
        <v>507</v>
      </c>
      <c r="B514">
        <v>4389</v>
      </c>
      <c r="C514" t="s">
        <v>1282</v>
      </c>
      <c r="D514" t="s">
        <v>145</v>
      </c>
      <c r="E514" t="s">
        <v>60</v>
      </c>
      <c r="F514" t="s">
        <v>1283</v>
      </c>
      <c r="G514" t="str">
        <f>"00158554"</f>
        <v>00158554</v>
      </c>
      <c r="H514">
        <v>38.24</v>
      </c>
      <c r="I514">
        <v>0</v>
      </c>
      <c r="J514">
        <v>8</v>
      </c>
      <c r="M514">
        <v>8</v>
      </c>
      <c r="N514">
        <v>4</v>
      </c>
      <c r="O514">
        <v>2</v>
      </c>
      <c r="P514">
        <v>52.24</v>
      </c>
      <c r="Q514">
        <v>47</v>
      </c>
      <c r="R514">
        <v>47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47</v>
      </c>
      <c r="Z514">
        <v>6</v>
      </c>
      <c r="AA514">
        <v>0</v>
      </c>
      <c r="AC514">
        <v>105.24</v>
      </c>
    </row>
    <row r="515" spans="1:29">
      <c r="A515">
        <v>508</v>
      </c>
      <c r="B515">
        <v>3694</v>
      </c>
      <c r="C515" t="s">
        <v>1286</v>
      </c>
      <c r="D515" t="s">
        <v>886</v>
      </c>
      <c r="E515" t="s">
        <v>18</v>
      </c>
      <c r="F515" t="s">
        <v>1287</v>
      </c>
      <c r="G515" t="str">
        <f>"00498596"</f>
        <v>00498596</v>
      </c>
      <c r="H515">
        <v>27.28</v>
      </c>
      <c r="I515">
        <v>0</v>
      </c>
      <c r="M515">
        <v>0</v>
      </c>
      <c r="N515">
        <v>4</v>
      </c>
      <c r="O515">
        <v>2</v>
      </c>
      <c r="P515">
        <v>33.28</v>
      </c>
      <c r="Q515">
        <v>42</v>
      </c>
      <c r="R515">
        <v>42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42</v>
      </c>
      <c r="Z515">
        <v>3</v>
      </c>
      <c r="AA515">
        <v>26.8</v>
      </c>
      <c r="AC515">
        <v>105.08</v>
      </c>
    </row>
    <row r="516" spans="1:29">
      <c r="A516">
        <v>509</v>
      </c>
      <c r="B516">
        <v>2538</v>
      </c>
      <c r="C516" t="s">
        <v>1288</v>
      </c>
      <c r="D516" t="s">
        <v>27</v>
      </c>
      <c r="E516" t="s">
        <v>66</v>
      </c>
      <c r="F516" t="s">
        <v>1289</v>
      </c>
      <c r="G516" t="str">
        <f>"200712003431"</f>
        <v>200712003431</v>
      </c>
      <c r="H516">
        <v>40</v>
      </c>
      <c r="I516">
        <v>10</v>
      </c>
      <c r="L516">
        <v>4</v>
      </c>
      <c r="M516">
        <v>4</v>
      </c>
      <c r="N516">
        <v>4</v>
      </c>
      <c r="O516">
        <v>0</v>
      </c>
      <c r="P516">
        <v>58</v>
      </c>
      <c r="Q516">
        <v>41</v>
      </c>
      <c r="R516">
        <v>41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41</v>
      </c>
      <c r="Z516">
        <v>6</v>
      </c>
      <c r="AA516">
        <v>0</v>
      </c>
      <c r="AC516">
        <v>105</v>
      </c>
    </row>
    <row r="517" spans="1:29">
      <c r="A517">
        <v>510</v>
      </c>
      <c r="B517">
        <v>3187</v>
      </c>
      <c r="C517" t="s">
        <v>260</v>
      </c>
      <c r="D517" t="s">
        <v>147</v>
      </c>
      <c r="E517" t="s">
        <v>997</v>
      </c>
      <c r="F517" t="s">
        <v>1290</v>
      </c>
      <c r="G517" t="str">
        <f>"00531232"</f>
        <v>00531232</v>
      </c>
      <c r="H517">
        <v>40</v>
      </c>
      <c r="I517">
        <v>10</v>
      </c>
      <c r="M517">
        <v>0</v>
      </c>
      <c r="N517">
        <v>0</v>
      </c>
      <c r="O517">
        <v>2</v>
      </c>
      <c r="P517">
        <v>52</v>
      </c>
      <c r="Q517">
        <v>53</v>
      </c>
      <c r="R517">
        <v>53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53</v>
      </c>
      <c r="Z517">
        <v>0</v>
      </c>
      <c r="AA517">
        <v>0</v>
      </c>
      <c r="AC517">
        <v>105</v>
      </c>
    </row>
    <row r="518" spans="1:29">
      <c r="A518">
        <v>511</v>
      </c>
      <c r="B518">
        <v>3493</v>
      </c>
      <c r="C518" t="s">
        <v>1291</v>
      </c>
      <c r="D518" t="s">
        <v>24</v>
      </c>
      <c r="E518" t="s">
        <v>89</v>
      </c>
      <c r="F518" t="s">
        <v>1292</v>
      </c>
      <c r="G518" t="str">
        <f>"00485724"</f>
        <v>00485724</v>
      </c>
      <c r="H518">
        <v>36</v>
      </c>
      <c r="I518">
        <v>10</v>
      </c>
      <c r="M518">
        <v>0</v>
      </c>
      <c r="N518">
        <v>4</v>
      </c>
      <c r="O518">
        <v>2</v>
      </c>
      <c r="P518">
        <v>52</v>
      </c>
      <c r="Q518">
        <v>53</v>
      </c>
      <c r="R518">
        <v>53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53</v>
      </c>
      <c r="Z518">
        <v>0</v>
      </c>
      <c r="AA518">
        <v>0</v>
      </c>
      <c r="AC518">
        <v>105</v>
      </c>
    </row>
    <row r="519" spans="1:29">
      <c r="A519">
        <v>512</v>
      </c>
      <c r="B519">
        <v>197</v>
      </c>
      <c r="C519" t="s">
        <v>1293</v>
      </c>
      <c r="D519" t="s">
        <v>36</v>
      </c>
      <c r="E519" t="s">
        <v>15</v>
      </c>
      <c r="F519" t="s">
        <v>1294</v>
      </c>
      <c r="G519" t="str">
        <f>"00078013"</f>
        <v>00078013</v>
      </c>
      <c r="H519">
        <v>38.92</v>
      </c>
      <c r="I519">
        <v>0</v>
      </c>
      <c r="J519">
        <v>8</v>
      </c>
      <c r="L519">
        <v>4</v>
      </c>
      <c r="M519">
        <v>12</v>
      </c>
      <c r="N519">
        <v>4</v>
      </c>
      <c r="O519">
        <v>0</v>
      </c>
      <c r="P519">
        <v>54.92</v>
      </c>
      <c r="Q519">
        <v>50</v>
      </c>
      <c r="R519">
        <v>50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50</v>
      </c>
      <c r="Z519">
        <v>0</v>
      </c>
      <c r="AA519">
        <v>0</v>
      </c>
      <c r="AC519">
        <v>104.92</v>
      </c>
    </row>
    <row r="520" spans="1:29">
      <c r="A520">
        <v>513</v>
      </c>
      <c r="B520">
        <v>2895</v>
      </c>
      <c r="C520" t="s">
        <v>1295</v>
      </c>
      <c r="D520" t="s">
        <v>1296</v>
      </c>
      <c r="E520" t="s">
        <v>115</v>
      </c>
      <c r="F520" t="s">
        <v>1297</v>
      </c>
      <c r="G520" t="str">
        <f>"00531131"</f>
        <v>00531131</v>
      </c>
      <c r="H520">
        <v>28.8</v>
      </c>
      <c r="I520">
        <v>10</v>
      </c>
      <c r="M520">
        <v>0</v>
      </c>
      <c r="N520">
        <v>4</v>
      </c>
      <c r="O520">
        <v>0</v>
      </c>
      <c r="P520">
        <v>42.8</v>
      </c>
      <c r="Q520">
        <v>59</v>
      </c>
      <c r="R520">
        <v>59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59</v>
      </c>
      <c r="Z520">
        <v>3</v>
      </c>
      <c r="AA520">
        <v>0</v>
      </c>
      <c r="AC520">
        <v>104.8</v>
      </c>
    </row>
    <row r="521" spans="1:29">
      <c r="A521">
        <v>514</v>
      </c>
      <c r="B521">
        <v>1053</v>
      </c>
      <c r="C521" t="s">
        <v>1298</v>
      </c>
      <c r="D521" t="s">
        <v>1299</v>
      </c>
      <c r="E521" t="s">
        <v>79</v>
      </c>
      <c r="F521" t="s">
        <v>1300</v>
      </c>
      <c r="G521" t="str">
        <f>"00534198"</f>
        <v>00534198</v>
      </c>
      <c r="H521">
        <v>64.8</v>
      </c>
      <c r="I521">
        <v>10</v>
      </c>
      <c r="J521">
        <v>8</v>
      </c>
      <c r="M521">
        <v>8</v>
      </c>
      <c r="N521">
        <v>4</v>
      </c>
      <c r="O521">
        <v>0</v>
      </c>
      <c r="P521">
        <v>86.8</v>
      </c>
      <c r="Q521">
        <v>18</v>
      </c>
      <c r="R521">
        <v>18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18</v>
      </c>
      <c r="Z521">
        <v>0</v>
      </c>
      <c r="AA521">
        <v>0</v>
      </c>
      <c r="AC521">
        <v>104.8</v>
      </c>
    </row>
    <row r="522" spans="1:29">
      <c r="A522">
        <v>515</v>
      </c>
      <c r="B522">
        <v>4391</v>
      </c>
      <c r="C522" t="s">
        <v>1301</v>
      </c>
      <c r="D522" t="s">
        <v>108</v>
      </c>
      <c r="E522" t="s">
        <v>134</v>
      </c>
      <c r="F522" t="s">
        <v>1302</v>
      </c>
      <c r="G522" t="str">
        <f>"201412001262"</f>
        <v>201412001262</v>
      </c>
      <c r="H522">
        <v>22.68</v>
      </c>
      <c r="I522">
        <v>0</v>
      </c>
      <c r="J522">
        <v>8</v>
      </c>
      <c r="M522">
        <v>8</v>
      </c>
      <c r="N522">
        <v>4</v>
      </c>
      <c r="O522">
        <v>2</v>
      </c>
      <c r="P522">
        <v>36.68</v>
      </c>
      <c r="Q522">
        <v>68</v>
      </c>
      <c r="R522">
        <v>68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68</v>
      </c>
      <c r="Z522">
        <v>0</v>
      </c>
      <c r="AA522">
        <v>0</v>
      </c>
      <c r="AC522">
        <v>104.68</v>
      </c>
    </row>
    <row r="523" spans="1:29">
      <c r="A523">
        <v>516</v>
      </c>
      <c r="B523">
        <v>919</v>
      </c>
      <c r="C523" t="s">
        <v>1303</v>
      </c>
      <c r="D523" t="s">
        <v>108</v>
      </c>
      <c r="E523" t="s">
        <v>15</v>
      </c>
      <c r="F523" t="s">
        <v>1304</v>
      </c>
      <c r="G523" t="str">
        <f>"00509219"</f>
        <v>00509219</v>
      </c>
      <c r="H523">
        <v>57.6</v>
      </c>
      <c r="I523">
        <v>10</v>
      </c>
      <c r="L523">
        <v>4</v>
      </c>
      <c r="M523">
        <v>4</v>
      </c>
      <c r="N523">
        <v>4</v>
      </c>
      <c r="O523">
        <v>2</v>
      </c>
      <c r="P523">
        <v>77.599999999999994</v>
      </c>
      <c r="Q523">
        <v>18</v>
      </c>
      <c r="R523">
        <v>18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18</v>
      </c>
      <c r="Z523">
        <v>9</v>
      </c>
      <c r="AA523">
        <v>0</v>
      </c>
      <c r="AC523">
        <v>104.6</v>
      </c>
    </row>
    <row r="524" spans="1:29">
      <c r="A524">
        <v>517</v>
      </c>
      <c r="B524">
        <v>394</v>
      </c>
      <c r="C524" t="s">
        <v>1305</v>
      </c>
      <c r="D524" t="s">
        <v>164</v>
      </c>
      <c r="E524" t="s">
        <v>32</v>
      </c>
      <c r="F524" t="s">
        <v>1306</v>
      </c>
      <c r="G524" t="str">
        <f>"00442182"</f>
        <v>00442182</v>
      </c>
      <c r="H524">
        <v>21.6</v>
      </c>
      <c r="I524">
        <v>10</v>
      </c>
      <c r="L524">
        <v>4</v>
      </c>
      <c r="M524">
        <v>4</v>
      </c>
      <c r="N524">
        <v>4</v>
      </c>
      <c r="O524">
        <v>2</v>
      </c>
      <c r="P524">
        <v>41.6</v>
      </c>
      <c r="Q524">
        <v>54</v>
      </c>
      <c r="R524">
        <v>54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54</v>
      </c>
      <c r="Z524">
        <v>9</v>
      </c>
      <c r="AA524">
        <v>0</v>
      </c>
      <c r="AC524">
        <v>104.6</v>
      </c>
    </row>
    <row r="525" spans="1:29">
      <c r="A525">
        <v>518</v>
      </c>
      <c r="B525">
        <v>4059</v>
      </c>
      <c r="C525" t="s">
        <v>1307</v>
      </c>
      <c r="D525" t="s">
        <v>52</v>
      </c>
      <c r="E525" t="s">
        <v>79</v>
      </c>
      <c r="F525" t="s">
        <v>1308</v>
      </c>
      <c r="G525" t="str">
        <f>"00507563"</f>
        <v>00507563</v>
      </c>
      <c r="H525">
        <v>21.6</v>
      </c>
      <c r="I525">
        <v>0</v>
      </c>
      <c r="L525">
        <v>4</v>
      </c>
      <c r="M525">
        <v>4</v>
      </c>
      <c r="N525">
        <v>4</v>
      </c>
      <c r="O525">
        <v>2</v>
      </c>
      <c r="P525">
        <v>31.6</v>
      </c>
      <c r="Q525">
        <v>67</v>
      </c>
      <c r="R525">
        <v>67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67</v>
      </c>
      <c r="Z525">
        <v>6</v>
      </c>
      <c r="AA525">
        <v>0</v>
      </c>
      <c r="AC525">
        <v>104.6</v>
      </c>
    </row>
    <row r="526" spans="1:29">
      <c r="A526">
        <v>519</v>
      </c>
      <c r="B526">
        <v>402</v>
      </c>
      <c r="C526" t="s">
        <v>1309</v>
      </c>
      <c r="D526" t="s">
        <v>24</v>
      </c>
      <c r="E526" t="s">
        <v>237</v>
      </c>
      <c r="F526" t="s">
        <v>1310</v>
      </c>
      <c r="G526" t="str">
        <f>"201511025865"</f>
        <v>201511025865</v>
      </c>
      <c r="H526">
        <v>38.4</v>
      </c>
      <c r="I526">
        <v>10</v>
      </c>
      <c r="M526">
        <v>0</v>
      </c>
      <c r="N526">
        <v>4</v>
      </c>
      <c r="O526">
        <v>2</v>
      </c>
      <c r="P526">
        <v>54.4</v>
      </c>
      <c r="Q526">
        <v>47</v>
      </c>
      <c r="R526">
        <v>47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47</v>
      </c>
      <c r="Z526">
        <v>3</v>
      </c>
      <c r="AA526">
        <v>0</v>
      </c>
      <c r="AC526">
        <v>104.4</v>
      </c>
    </row>
    <row r="527" spans="1:29">
      <c r="A527">
        <v>520</v>
      </c>
      <c r="B527">
        <v>3085</v>
      </c>
      <c r="C527" t="s">
        <v>1311</v>
      </c>
      <c r="D527" t="s">
        <v>930</v>
      </c>
      <c r="E527" t="s">
        <v>156</v>
      </c>
      <c r="F527" t="s">
        <v>1312</v>
      </c>
      <c r="G527" t="str">
        <f>"00502907"</f>
        <v>00502907</v>
      </c>
      <c r="H527">
        <v>43.2</v>
      </c>
      <c r="I527">
        <v>10</v>
      </c>
      <c r="J527">
        <v>8</v>
      </c>
      <c r="M527">
        <v>8</v>
      </c>
      <c r="N527">
        <v>4</v>
      </c>
      <c r="O527">
        <v>0</v>
      </c>
      <c r="P527">
        <v>65.2</v>
      </c>
      <c r="Q527">
        <v>33</v>
      </c>
      <c r="R527">
        <v>33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33</v>
      </c>
      <c r="Z527">
        <v>6</v>
      </c>
      <c r="AA527">
        <v>0</v>
      </c>
      <c r="AC527">
        <v>104.2</v>
      </c>
    </row>
    <row r="528" spans="1:29">
      <c r="A528">
        <v>521</v>
      </c>
      <c r="B528">
        <v>1987</v>
      </c>
      <c r="C528" t="s">
        <v>1313</v>
      </c>
      <c r="D528" t="s">
        <v>1314</v>
      </c>
      <c r="E528" t="s">
        <v>115</v>
      </c>
      <c r="F528" t="s">
        <v>1315</v>
      </c>
      <c r="G528" t="str">
        <f>"00483040"</f>
        <v>00483040</v>
      </c>
      <c r="H528">
        <v>43.2</v>
      </c>
      <c r="I528">
        <v>0</v>
      </c>
      <c r="J528">
        <v>8</v>
      </c>
      <c r="M528">
        <v>8</v>
      </c>
      <c r="N528">
        <v>4</v>
      </c>
      <c r="O528">
        <v>2</v>
      </c>
      <c r="P528">
        <v>57.2</v>
      </c>
      <c r="Q528">
        <v>47</v>
      </c>
      <c r="R528">
        <v>47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47</v>
      </c>
      <c r="Z528">
        <v>0</v>
      </c>
      <c r="AA528">
        <v>0</v>
      </c>
      <c r="AC528">
        <v>104.2</v>
      </c>
    </row>
    <row r="529" spans="1:29">
      <c r="A529">
        <v>522</v>
      </c>
      <c r="B529">
        <v>2767</v>
      </c>
      <c r="C529" t="s">
        <v>1316</v>
      </c>
      <c r="D529" t="s">
        <v>27</v>
      </c>
      <c r="E529" t="s">
        <v>134</v>
      </c>
      <c r="F529" t="s">
        <v>1317</v>
      </c>
      <c r="G529" t="str">
        <f>"00441612"</f>
        <v>00441612</v>
      </c>
      <c r="H529">
        <v>43.2</v>
      </c>
      <c r="I529">
        <v>0</v>
      </c>
      <c r="M529">
        <v>0</v>
      </c>
      <c r="N529">
        <v>4</v>
      </c>
      <c r="O529">
        <v>2</v>
      </c>
      <c r="P529">
        <v>49.2</v>
      </c>
      <c r="Q529">
        <v>55</v>
      </c>
      <c r="R529">
        <v>55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55</v>
      </c>
      <c r="Z529">
        <v>0</v>
      </c>
      <c r="AA529">
        <v>0</v>
      </c>
      <c r="AC529">
        <v>104.2</v>
      </c>
    </row>
    <row r="530" spans="1:29">
      <c r="A530">
        <v>523</v>
      </c>
      <c r="B530">
        <v>1943</v>
      </c>
      <c r="C530" t="s">
        <v>311</v>
      </c>
      <c r="D530" t="s">
        <v>1318</v>
      </c>
      <c r="E530" t="s">
        <v>18</v>
      </c>
      <c r="F530" t="s">
        <v>1319</v>
      </c>
      <c r="G530" t="str">
        <f>"00530221"</f>
        <v>00530221</v>
      </c>
      <c r="H530">
        <v>35.119999999999997</v>
      </c>
      <c r="I530">
        <v>0</v>
      </c>
      <c r="J530">
        <v>8</v>
      </c>
      <c r="M530">
        <v>8</v>
      </c>
      <c r="N530">
        <v>4</v>
      </c>
      <c r="O530">
        <v>2</v>
      </c>
      <c r="P530">
        <v>49.12</v>
      </c>
      <c r="Q530">
        <v>55</v>
      </c>
      <c r="R530">
        <v>55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55</v>
      </c>
      <c r="Z530">
        <v>0</v>
      </c>
      <c r="AA530">
        <v>0</v>
      </c>
      <c r="AC530">
        <v>104.12</v>
      </c>
    </row>
    <row r="531" spans="1:29">
      <c r="A531">
        <v>524</v>
      </c>
      <c r="B531">
        <v>2772</v>
      </c>
      <c r="C531" t="s">
        <v>1320</v>
      </c>
      <c r="D531" t="s">
        <v>205</v>
      </c>
      <c r="E531" t="s">
        <v>18</v>
      </c>
      <c r="F531" t="s">
        <v>1321</v>
      </c>
      <c r="G531" t="str">
        <f>"00393327"</f>
        <v>00393327</v>
      </c>
      <c r="H531">
        <v>40</v>
      </c>
      <c r="I531">
        <v>10</v>
      </c>
      <c r="J531">
        <v>8</v>
      </c>
      <c r="M531">
        <v>8</v>
      </c>
      <c r="N531">
        <v>4</v>
      </c>
      <c r="O531">
        <v>2</v>
      </c>
      <c r="P531">
        <v>64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40</v>
      </c>
      <c r="AC531">
        <v>104</v>
      </c>
    </row>
    <row r="532" spans="1:29">
      <c r="A532">
        <v>525</v>
      </c>
      <c r="B532">
        <v>946</v>
      </c>
      <c r="C532" t="s">
        <v>1322</v>
      </c>
      <c r="D532" t="s">
        <v>216</v>
      </c>
      <c r="E532" t="s">
        <v>134</v>
      </c>
      <c r="F532" t="s">
        <v>1323</v>
      </c>
      <c r="G532" t="str">
        <f>"201510000964"</f>
        <v>201510000964</v>
      </c>
      <c r="H532">
        <v>36</v>
      </c>
      <c r="I532">
        <v>10</v>
      </c>
      <c r="J532">
        <v>8</v>
      </c>
      <c r="L532">
        <v>4</v>
      </c>
      <c r="M532">
        <v>12</v>
      </c>
      <c r="N532">
        <v>4</v>
      </c>
      <c r="O532">
        <v>2</v>
      </c>
      <c r="P532">
        <v>64</v>
      </c>
      <c r="Q532">
        <v>14</v>
      </c>
      <c r="R532">
        <v>14</v>
      </c>
      <c r="S532">
        <v>10</v>
      </c>
      <c r="T532">
        <v>20</v>
      </c>
      <c r="U532">
        <v>0</v>
      </c>
      <c r="V532">
        <v>0</v>
      </c>
      <c r="W532">
        <v>0</v>
      </c>
      <c r="X532">
        <v>0</v>
      </c>
      <c r="Y532">
        <v>34</v>
      </c>
      <c r="Z532">
        <v>6</v>
      </c>
      <c r="AA532">
        <v>0</v>
      </c>
      <c r="AC532">
        <v>104</v>
      </c>
    </row>
    <row r="533" spans="1:29">
      <c r="A533">
        <v>526</v>
      </c>
      <c r="B533">
        <v>4042</v>
      </c>
      <c r="C533" t="s">
        <v>195</v>
      </c>
      <c r="D533" t="s">
        <v>86</v>
      </c>
      <c r="E533" t="s">
        <v>79</v>
      </c>
      <c r="F533" t="s">
        <v>1324</v>
      </c>
      <c r="G533" t="str">
        <f>"00003204"</f>
        <v>00003204</v>
      </c>
      <c r="H533">
        <v>36</v>
      </c>
      <c r="I533">
        <v>0</v>
      </c>
      <c r="M533">
        <v>0</v>
      </c>
      <c r="N533">
        <v>4</v>
      </c>
      <c r="O533">
        <v>2</v>
      </c>
      <c r="P533">
        <v>42</v>
      </c>
      <c r="Q533">
        <v>56</v>
      </c>
      <c r="R533">
        <v>56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56</v>
      </c>
      <c r="Z533">
        <v>6</v>
      </c>
      <c r="AA533">
        <v>0</v>
      </c>
      <c r="AC533">
        <v>104</v>
      </c>
    </row>
    <row r="534" spans="1:29">
      <c r="A534">
        <v>527</v>
      </c>
      <c r="B534">
        <v>4466</v>
      </c>
      <c r="C534" t="s">
        <v>1329</v>
      </c>
      <c r="D534" t="s">
        <v>1330</v>
      </c>
      <c r="E534" t="s">
        <v>134</v>
      </c>
      <c r="F534" t="s">
        <v>1331</v>
      </c>
      <c r="G534" t="str">
        <f>"00478539"</f>
        <v>00478539</v>
      </c>
      <c r="H534">
        <v>72</v>
      </c>
      <c r="I534">
        <v>10</v>
      </c>
      <c r="M534">
        <v>0</v>
      </c>
      <c r="N534">
        <v>4</v>
      </c>
      <c r="O534">
        <v>0</v>
      </c>
      <c r="P534">
        <v>86</v>
      </c>
      <c r="Q534">
        <v>18</v>
      </c>
      <c r="R534">
        <v>18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18</v>
      </c>
      <c r="Z534">
        <v>0</v>
      </c>
      <c r="AA534">
        <v>0</v>
      </c>
      <c r="AC534">
        <v>104</v>
      </c>
    </row>
    <row r="535" spans="1:29">
      <c r="A535">
        <v>528</v>
      </c>
      <c r="B535">
        <v>503</v>
      </c>
      <c r="C535" t="s">
        <v>1325</v>
      </c>
      <c r="D535" t="s">
        <v>164</v>
      </c>
      <c r="E535" t="s">
        <v>224</v>
      </c>
      <c r="F535" t="s">
        <v>1326</v>
      </c>
      <c r="G535" t="str">
        <f>"200912000244"</f>
        <v>200912000244</v>
      </c>
      <c r="H535">
        <v>72</v>
      </c>
      <c r="I535">
        <v>0</v>
      </c>
      <c r="J535">
        <v>8</v>
      </c>
      <c r="M535">
        <v>8</v>
      </c>
      <c r="N535">
        <v>4</v>
      </c>
      <c r="O535">
        <v>2</v>
      </c>
      <c r="P535">
        <v>86</v>
      </c>
      <c r="Q535">
        <v>18</v>
      </c>
      <c r="R535">
        <v>18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18</v>
      </c>
      <c r="Z535">
        <v>0</v>
      </c>
      <c r="AA535">
        <v>0</v>
      </c>
      <c r="AC535">
        <v>104</v>
      </c>
    </row>
    <row r="536" spans="1:29">
      <c r="A536">
        <v>529</v>
      </c>
      <c r="B536">
        <v>339</v>
      </c>
      <c r="C536" t="s">
        <v>178</v>
      </c>
      <c r="D536" t="s">
        <v>1327</v>
      </c>
      <c r="E536" t="s">
        <v>79</v>
      </c>
      <c r="F536" t="s">
        <v>1328</v>
      </c>
      <c r="G536" t="str">
        <f>"201604001807"</f>
        <v>201604001807</v>
      </c>
      <c r="H536">
        <v>72</v>
      </c>
      <c r="I536">
        <v>0</v>
      </c>
      <c r="J536">
        <v>8</v>
      </c>
      <c r="M536">
        <v>8</v>
      </c>
      <c r="N536">
        <v>4</v>
      </c>
      <c r="O536">
        <v>2</v>
      </c>
      <c r="P536">
        <v>86</v>
      </c>
      <c r="Q536">
        <v>18</v>
      </c>
      <c r="R536">
        <v>18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18</v>
      </c>
      <c r="Z536">
        <v>0</v>
      </c>
      <c r="AA536">
        <v>0</v>
      </c>
      <c r="AC536">
        <v>104</v>
      </c>
    </row>
    <row r="537" spans="1:29">
      <c r="A537">
        <v>530</v>
      </c>
      <c r="B537">
        <v>2806</v>
      </c>
      <c r="C537" t="s">
        <v>1332</v>
      </c>
      <c r="D537" t="s">
        <v>557</v>
      </c>
      <c r="E537" t="s">
        <v>156</v>
      </c>
      <c r="F537" t="s">
        <v>1333</v>
      </c>
      <c r="G537" t="str">
        <f>"00129912"</f>
        <v>00129912</v>
      </c>
      <c r="H537">
        <v>36</v>
      </c>
      <c r="I537">
        <v>0</v>
      </c>
      <c r="J537">
        <v>8</v>
      </c>
      <c r="M537">
        <v>8</v>
      </c>
      <c r="N537">
        <v>4</v>
      </c>
      <c r="O537">
        <v>0</v>
      </c>
      <c r="P537">
        <v>48</v>
      </c>
      <c r="Q537">
        <v>56</v>
      </c>
      <c r="R537">
        <v>56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56</v>
      </c>
      <c r="Z537">
        <v>0</v>
      </c>
      <c r="AA537">
        <v>0</v>
      </c>
      <c r="AC537">
        <v>104</v>
      </c>
    </row>
    <row r="538" spans="1:29">
      <c r="A538">
        <v>531</v>
      </c>
      <c r="B538">
        <v>275</v>
      </c>
      <c r="C538" t="s">
        <v>1334</v>
      </c>
      <c r="D538" t="s">
        <v>27</v>
      </c>
      <c r="E538" t="s">
        <v>66</v>
      </c>
      <c r="F538" t="s">
        <v>1335</v>
      </c>
      <c r="G538" t="str">
        <f>"00530070"</f>
        <v>00530070</v>
      </c>
      <c r="H538">
        <v>21.44</v>
      </c>
      <c r="I538">
        <v>10</v>
      </c>
      <c r="L538">
        <v>4</v>
      </c>
      <c r="M538">
        <v>4</v>
      </c>
      <c r="N538">
        <v>4</v>
      </c>
      <c r="O538">
        <v>0</v>
      </c>
      <c r="P538">
        <v>39.44</v>
      </c>
      <c r="Q538">
        <v>27</v>
      </c>
      <c r="R538">
        <v>27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27</v>
      </c>
      <c r="Z538">
        <v>9</v>
      </c>
      <c r="AA538">
        <v>28.4</v>
      </c>
      <c r="AC538">
        <v>103.84</v>
      </c>
    </row>
    <row r="539" spans="1:29">
      <c r="A539">
        <v>532</v>
      </c>
      <c r="B539">
        <v>680</v>
      </c>
      <c r="C539" t="s">
        <v>1336</v>
      </c>
      <c r="D539" t="s">
        <v>1337</v>
      </c>
      <c r="E539" t="s">
        <v>79</v>
      </c>
      <c r="F539" t="s">
        <v>1338</v>
      </c>
      <c r="G539" t="str">
        <f>"00144513"</f>
        <v>00144513</v>
      </c>
      <c r="H539">
        <v>64.8</v>
      </c>
      <c r="I539">
        <v>0</v>
      </c>
      <c r="M539">
        <v>0</v>
      </c>
      <c r="N539">
        <v>4</v>
      </c>
      <c r="O539">
        <v>0</v>
      </c>
      <c r="P539">
        <v>68.8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3</v>
      </c>
      <c r="AA539">
        <v>32</v>
      </c>
      <c r="AC539">
        <v>103.8</v>
      </c>
    </row>
    <row r="540" spans="1:29">
      <c r="A540">
        <v>533</v>
      </c>
      <c r="B540">
        <v>1815</v>
      </c>
      <c r="C540" t="s">
        <v>1339</v>
      </c>
      <c r="D540" t="s">
        <v>544</v>
      </c>
      <c r="E540" t="s">
        <v>28</v>
      </c>
      <c r="F540" t="s">
        <v>1340</v>
      </c>
      <c r="G540" t="str">
        <f>"00508574"</f>
        <v>00508574</v>
      </c>
      <c r="H540">
        <v>28.8</v>
      </c>
      <c r="I540">
        <v>0</v>
      </c>
      <c r="J540">
        <v>8</v>
      </c>
      <c r="M540">
        <v>8</v>
      </c>
      <c r="N540">
        <v>4</v>
      </c>
      <c r="O540">
        <v>2</v>
      </c>
      <c r="P540">
        <v>42.8</v>
      </c>
      <c r="Q540">
        <v>61</v>
      </c>
      <c r="R540">
        <v>61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61</v>
      </c>
      <c r="Z540">
        <v>0</v>
      </c>
      <c r="AA540">
        <v>0</v>
      </c>
      <c r="AC540">
        <v>103.8</v>
      </c>
    </row>
    <row r="541" spans="1:29">
      <c r="A541">
        <v>534</v>
      </c>
      <c r="B541">
        <v>4700</v>
      </c>
      <c r="C541" t="s">
        <v>1341</v>
      </c>
      <c r="D541" t="s">
        <v>27</v>
      </c>
      <c r="E541" t="s">
        <v>18</v>
      </c>
      <c r="F541" t="s">
        <v>1342</v>
      </c>
      <c r="G541" t="str">
        <f>"201511017319"</f>
        <v>201511017319</v>
      </c>
      <c r="H541">
        <v>36.799999999999997</v>
      </c>
      <c r="I541">
        <v>0</v>
      </c>
      <c r="M541">
        <v>0</v>
      </c>
      <c r="N541">
        <v>4</v>
      </c>
      <c r="O541">
        <v>0</v>
      </c>
      <c r="P541">
        <v>40.799999999999997</v>
      </c>
      <c r="Q541">
        <v>63</v>
      </c>
      <c r="R541">
        <v>63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63</v>
      </c>
      <c r="Z541">
        <v>0</v>
      </c>
      <c r="AA541">
        <v>0</v>
      </c>
      <c r="AC541">
        <v>103.8</v>
      </c>
    </row>
    <row r="542" spans="1:29">
      <c r="A542">
        <v>535</v>
      </c>
      <c r="B542">
        <v>3779</v>
      </c>
      <c r="C542" t="s">
        <v>1343</v>
      </c>
      <c r="D542" t="s">
        <v>1240</v>
      </c>
      <c r="E542" t="s">
        <v>15</v>
      </c>
      <c r="F542" t="s">
        <v>1344</v>
      </c>
      <c r="G542" t="str">
        <f>"00531003"</f>
        <v>00531003</v>
      </c>
      <c r="H542">
        <v>26.68</v>
      </c>
      <c r="I542">
        <v>0</v>
      </c>
      <c r="M542">
        <v>0</v>
      </c>
      <c r="N542">
        <v>4</v>
      </c>
      <c r="O542">
        <v>2</v>
      </c>
      <c r="P542">
        <v>32.68</v>
      </c>
      <c r="Q542">
        <v>62</v>
      </c>
      <c r="R542">
        <v>62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62</v>
      </c>
      <c r="Z542">
        <v>9</v>
      </c>
      <c r="AA542">
        <v>0</v>
      </c>
      <c r="AC542">
        <v>103.68</v>
      </c>
    </row>
    <row r="543" spans="1:29">
      <c r="A543">
        <v>536</v>
      </c>
      <c r="B543">
        <v>1355</v>
      </c>
      <c r="C543" t="s">
        <v>1345</v>
      </c>
      <c r="D543" t="s">
        <v>35</v>
      </c>
      <c r="E543" t="s">
        <v>187</v>
      </c>
      <c r="F543" t="s">
        <v>1346</v>
      </c>
      <c r="G543" t="str">
        <f>"00530731"</f>
        <v>00530731</v>
      </c>
      <c r="H543">
        <v>21.6</v>
      </c>
      <c r="I543">
        <v>0</v>
      </c>
      <c r="L543">
        <v>4</v>
      </c>
      <c r="M543">
        <v>4</v>
      </c>
      <c r="N543">
        <v>4</v>
      </c>
      <c r="O543">
        <v>2</v>
      </c>
      <c r="P543">
        <v>31.6</v>
      </c>
      <c r="Q543">
        <v>66</v>
      </c>
      <c r="R543">
        <v>66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66</v>
      </c>
      <c r="Z543">
        <v>6</v>
      </c>
      <c r="AA543">
        <v>0</v>
      </c>
      <c r="AC543">
        <v>103.6</v>
      </c>
    </row>
    <row r="544" spans="1:29">
      <c r="A544">
        <v>537</v>
      </c>
      <c r="B544">
        <v>2001</v>
      </c>
      <c r="C544" t="s">
        <v>1347</v>
      </c>
      <c r="D544" t="s">
        <v>279</v>
      </c>
      <c r="E544" t="s">
        <v>18</v>
      </c>
      <c r="F544" t="s">
        <v>1348</v>
      </c>
      <c r="G544" t="str">
        <f>"00081285"</f>
        <v>00081285</v>
      </c>
      <c r="H544">
        <v>57.6</v>
      </c>
      <c r="I544">
        <v>0</v>
      </c>
      <c r="L544">
        <v>4</v>
      </c>
      <c r="M544">
        <v>4</v>
      </c>
      <c r="N544">
        <v>4</v>
      </c>
      <c r="O544">
        <v>2</v>
      </c>
      <c r="P544">
        <v>67.599999999999994</v>
      </c>
      <c r="Q544">
        <v>36</v>
      </c>
      <c r="R544">
        <v>36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36</v>
      </c>
      <c r="Z544">
        <v>0</v>
      </c>
      <c r="AA544">
        <v>0</v>
      </c>
      <c r="AC544">
        <v>103.6</v>
      </c>
    </row>
    <row r="545" spans="1:29">
      <c r="A545">
        <v>538</v>
      </c>
      <c r="B545">
        <v>4311</v>
      </c>
      <c r="C545" t="s">
        <v>311</v>
      </c>
      <c r="D545" t="s">
        <v>1349</v>
      </c>
      <c r="E545" t="s">
        <v>337</v>
      </c>
      <c r="F545" t="s">
        <v>1350</v>
      </c>
      <c r="G545" t="str">
        <f>"00309803"</f>
        <v>00309803</v>
      </c>
      <c r="H545">
        <v>50.4</v>
      </c>
      <c r="I545">
        <v>0</v>
      </c>
      <c r="M545">
        <v>0</v>
      </c>
      <c r="N545">
        <v>0</v>
      </c>
      <c r="O545">
        <v>0</v>
      </c>
      <c r="P545">
        <v>50.4</v>
      </c>
      <c r="Q545">
        <v>18</v>
      </c>
      <c r="R545">
        <v>18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18</v>
      </c>
      <c r="Z545">
        <v>3</v>
      </c>
      <c r="AA545">
        <v>32</v>
      </c>
      <c r="AC545">
        <v>103.4</v>
      </c>
    </row>
    <row r="546" spans="1:29">
      <c r="A546">
        <v>539</v>
      </c>
      <c r="B546">
        <v>907</v>
      </c>
      <c r="C546" t="s">
        <v>1351</v>
      </c>
      <c r="D546" t="s">
        <v>20</v>
      </c>
      <c r="E546" t="s">
        <v>134</v>
      </c>
      <c r="F546" t="s">
        <v>1352</v>
      </c>
      <c r="G546" t="str">
        <f>"00475535"</f>
        <v>00475535</v>
      </c>
      <c r="H546">
        <v>50.4</v>
      </c>
      <c r="I546">
        <v>0</v>
      </c>
      <c r="J546">
        <v>8</v>
      </c>
      <c r="M546">
        <v>8</v>
      </c>
      <c r="N546">
        <v>4</v>
      </c>
      <c r="O546">
        <v>2</v>
      </c>
      <c r="P546">
        <v>64.400000000000006</v>
      </c>
      <c r="Q546">
        <v>36</v>
      </c>
      <c r="R546">
        <v>36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36</v>
      </c>
      <c r="Z546">
        <v>3</v>
      </c>
      <c r="AA546">
        <v>0</v>
      </c>
      <c r="AC546">
        <v>103.4</v>
      </c>
    </row>
    <row r="547" spans="1:29">
      <c r="A547">
        <v>540</v>
      </c>
      <c r="B547">
        <v>1004</v>
      </c>
      <c r="C547" t="s">
        <v>1353</v>
      </c>
      <c r="D547" t="s">
        <v>384</v>
      </c>
      <c r="E547" t="s">
        <v>79</v>
      </c>
      <c r="F547" t="s">
        <v>1354</v>
      </c>
      <c r="G547" t="str">
        <f>"00152756"</f>
        <v>00152756</v>
      </c>
      <c r="H547">
        <v>50.4</v>
      </c>
      <c r="I547">
        <v>0</v>
      </c>
      <c r="M547">
        <v>0</v>
      </c>
      <c r="N547">
        <v>4</v>
      </c>
      <c r="O547">
        <v>2</v>
      </c>
      <c r="P547">
        <v>56.4</v>
      </c>
      <c r="Q547">
        <v>47</v>
      </c>
      <c r="R547">
        <v>47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47</v>
      </c>
      <c r="Z547">
        <v>0</v>
      </c>
      <c r="AA547">
        <v>0</v>
      </c>
      <c r="AC547">
        <v>103.4</v>
      </c>
    </row>
    <row r="548" spans="1:29">
      <c r="A548">
        <v>541</v>
      </c>
      <c r="B548">
        <v>1150</v>
      </c>
      <c r="C548" t="s">
        <v>1284</v>
      </c>
      <c r="D548" t="s">
        <v>24</v>
      </c>
      <c r="E548" t="s">
        <v>32</v>
      </c>
      <c r="F548" t="s">
        <v>1355</v>
      </c>
      <c r="G548" t="str">
        <f>"00157421"</f>
        <v>00157421</v>
      </c>
      <c r="H548">
        <v>30.28</v>
      </c>
      <c r="I548">
        <v>10</v>
      </c>
      <c r="M548">
        <v>0</v>
      </c>
      <c r="N548">
        <v>4</v>
      </c>
      <c r="O548">
        <v>2</v>
      </c>
      <c r="P548">
        <v>46.28</v>
      </c>
      <c r="Q548">
        <v>54</v>
      </c>
      <c r="R548">
        <v>54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54</v>
      </c>
      <c r="Z548">
        <v>3</v>
      </c>
      <c r="AA548">
        <v>0</v>
      </c>
      <c r="AC548">
        <v>103.28</v>
      </c>
    </row>
    <row r="549" spans="1:29">
      <c r="A549">
        <v>542</v>
      </c>
      <c r="B549">
        <v>3530</v>
      </c>
      <c r="C549" t="s">
        <v>1356</v>
      </c>
      <c r="D549" t="s">
        <v>35</v>
      </c>
      <c r="E549" t="s">
        <v>79</v>
      </c>
      <c r="F549" t="s">
        <v>1357</v>
      </c>
      <c r="G549" t="str">
        <f>"00506828"</f>
        <v>00506828</v>
      </c>
      <c r="H549">
        <v>43.2</v>
      </c>
      <c r="I549">
        <v>0</v>
      </c>
      <c r="J549">
        <v>8</v>
      </c>
      <c r="M549">
        <v>8</v>
      </c>
      <c r="N549">
        <v>4</v>
      </c>
      <c r="O549">
        <v>2</v>
      </c>
      <c r="P549">
        <v>57.2</v>
      </c>
      <c r="Q549">
        <v>46</v>
      </c>
      <c r="R549">
        <v>46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46</v>
      </c>
      <c r="Z549">
        <v>0</v>
      </c>
      <c r="AA549">
        <v>0</v>
      </c>
      <c r="AC549">
        <v>103.2</v>
      </c>
    </row>
    <row r="550" spans="1:29">
      <c r="A550">
        <v>543</v>
      </c>
      <c r="B550">
        <v>1169</v>
      </c>
      <c r="C550" t="s">
        <v>1358</v>
      </c>
      <c r="D550" t="s">
        <v>1187</v>
      </c>
      <c r="E550" t="s">
        <v>967</v>
      </c>
      <c r="F550" t="s">
        <v>1359</v>
      </c>
      <c r="G550" t="str">
        <f>"00482616"</f>
        <v>00482616</v>
      </c>
      <c r="H550">
        <v>26.12</v>
      </c>
      <c r="I550">
        <v>10</v>
      </c>
      <c r="L550">
        <v>4</v>
      </c>
      <c r="M550">
        <v>4</v>
      </c>
      <c r="N550">
        <v>4</v>
      </c>
      <c r="O550">
        <v>2</v>
      </c>
      <c r="P550">
        <v>46.12</v>
      </c>
      <c r="Q550">
        <v>54</v>
      </c>
      <c r="R550">
        <v>54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54</v>
      </c>
      <c r="Z550">
        <v>3</v>
      </c>
      <c r="AA550">
        <v>0</v>
      </c>
      <c r="AC550">
        <v>103.12</v>
      </c>
    </row>
    <row r="551" spans="1:29">
      <c r="A551">
        <v>544</v>
      </c>
      <c r="B551">
        <v>574</v>
      </c>
      <c r="C551" t="s">
        <v>1360</v>
      </c>
      <c r="D551" t="s">
        <v>1361</v>
      </c>
      <c r="E551" t="s">
        <v>115</v>
      </c>
      <c r="F551" t="s">
        <v>1362</v>
      </c>
      <c r="G551" t="str">
        <f>"20160702373"</f>
        <v>20160702373</v>
      </c>
      <c r="H551">
        <v>72</v>
      </c>
      <c r="I551">
        <v>0</v>
      </c>
      <c r="L551">
        <v>4</v>
      </c>
      <c r="M551">
        <v>4</v>
      </c>
      <c r="N551">
        <v>4</v>
      </c>
      <c r="O551">
        <v>2</v>
      </c>
      <c r="P551">
        <v>82</v>
      </c>
      <c r="Q551">
        <v>18</v>
      </c>
      <c r="R551">
        <v>18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18</v>
      </c>
      <c r="Z551">
        <v>3</v>
      </c>
      <c r="AA551">
        <v>0</v>
      </c>
      <c r="AC551">
        <v>103</v>
      </c>
    </row>
    <row r="552" spans="1:29">
      <c r="A552">
        <v>545</v>
      </c>
      <c r="B552">
        <v>1361</v>
      </c>
      <c r="C552" t="s">
        <v>1363</v>
      </c>
      <c r="D552" t="s">
        <v>465</v>
      </c>
      <c r="E552" t="s">
        <v>15</v>
      </c>
      <c r="F552" t="s">
        <v>1364</v>
      </c>
      <c r="G552" t="str">
        <f>"00023938"</f>
        <v>00023938</v>
      </c>
      <c r="H552">
        <v>72</v>
      </c>
      <c r="I552">
        <v>0</v>
      </c>
      <c r="L552">
        <v>4</v>
      </c>
      <c r="M552">
        <v>4</v>
      </c>
      <c r="N552">
        <v>4</v>
      </c>
      <c r="O552">
        <v>2</v>
      </c>
      <c r="P552">
        <v>82</v>
      </c>
      <c r="Q552">
        <v>18</v>
      </c>
      <c r="R552">
        <v>18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18</v>
      </c>
      <c r="Z552">
        <v>3</v>
      </c>
      <c r="AA552">
        <v>0</v>
      </c>
      <c r="AC552">
        <v>103</v>
      </c>
    </row>
    <row r="553" spans="1:29">
      <c r="A553">
        <v>546</v>
      </c>
      <c r="B553">
        <v>1070</v>
      </c>
      <c r="C553" t="s">
        <v>1365</v>
      </c>
      <c r="D553" t="s">
        <v>164</v>
      </c>
      <c r="E553" t="s">
        <v>1366</v>
      </c>
      <c r="F553" t="s">
        <v>1367</v>
      </c>
      <c r="G553" t="str">
        <f>"201511035052"</f>
        <v>201511035052</v>
      </c>
      <c r="H553">
        <v>36</v>
      </c>
      <c r="I553">
        <v>10</v>
      </c>
      <c r="M553">
        <v>0</v>
      </c>
      <c r="N553">
        <v>4</v>
      </c>
      <c r="O553">
        <v>2</v>
      </c>
      <c r="P553">
        <v>52</v>
      </c>
      <c r="Q553">
        <v>51</v>
      </c>
      <c r="R553">
        <v>51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51</v>
      </c>
      <c r="Z553">
        <v>0</v>
      </c>
      <c r="AA553">
        <v>0</v>
      </c>
      <c r="AC553">
        <v>103</v>
      </c>
    </row>
    <row r="554" spans="1:29">
      <c r="A554">
        <v>547</v>
      </c>
      <c r="B554">
        <v>61</v>
      </c>
      <c r="C554" t="s">
        <v>231</v>
      </c>
      <c r="D554" t="s">
        <v>27</v>
      </c>
      <c r="E554" t="s">
        <v>134</v>
      </c>
      <c r="F554" t="s">
        <v>1368</v>
      </c>
      <c r="G554" t="str">
        <f>"201602000014"</f>
        <v>201602000014</v>
      </c>
      <c r="H554">
        <v>38.92</v>
      </c>
      <c r="I554">
        <v>0</v>
      </c>
      <c r="L554">
        <v>4</v>
      </c>
      <c r="M554">
        <v>4</v>
      </c>
      <c r="N554">
        <v>4</v>
      </c>
      <c r="O554">
        <v>2</v>
      </c>
      <c r="P554">
        <v>48.92</v>
      </c>
      <c r="Q554">
        <v>45</v>
      </c>
      <c r="R554">
        <v>45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45</v>
      </c>
      <c r="Z554">
        <v>9</v>
      </c>
      <c r="AA554">
        <v>0</v>
      </c>
      <c r="AC554">
        <v>102.92</v>
      </c>
    </row>
    <row r="555" spans="1:29">
      <c r="A555">
        <v>548</v>
      </c>
      <c r="B555">
        <v>2356</v>
      </c>
      <c r="C555" t="s">
        <v>1369</v>
      </c>
      <c r="D555" t="s">
        <v>1370</v>
      </c>
      <c r="E555" t="s">
        <v>187</v>
      </c>
      <c r="F555" t="s">
        <v>1371</v>
      </c>
      <c r="G555" t="str">
        <f>"00158360"</f>
        <v>00158360</v>
      </c>
      <c r="H555">
        <v>0</v>
      </c>
      <c r="I555">
        <v>10</v>
      </c>
      <c r="L555">
        <v>4</v>
      </c>
      <c r="M555">
        <v>4</v>
      </c>
      <c r="N555">
        <v>4</v>
      </c>
      <c r="O555">
        <v>0</v>
      </c>
      <c r="P555">
        <v>18</v>
      </c>
      <c r="Q555">
        <v>52</v>
      </c>
      <c r="R555">
        <v>52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52</v>
      </c>
      <c r="Z555">
        <v>6</v>
      </c>
      <c r="AA555">
        <v>26.8</v>
      </c>
      <c r="AC555">
        <v>102.8</v>
      </c>
    </row>
    <row r="556" spans="1:29">
      <c r="A556">
        <v>549</v>
      </c>
      <c r="B556">
        <v>2097</v>
      </c>
      <c r="C556" t="s">
        <v>1372</v>
      </c>
      <c r="D556" t="s">
        <v>1187</v>
      </c>
      <c r="E556" t="s">
        <v>15</v>
      </c>
      <c r="F556" t="s">
        <v>1373</v>
      </c>
      <c r="G556" t="str">
        <f>"00856653"</f>
        <v>00856653</v>
      </c>
      <c r="H556">
        <v>38.799999999999997</v>
      </c>
      <c r="I556">
        <v>10</v>
      </c>
      <c r="J556">
        <v>8</v>
      </c>
      <c r="M556">
        <v>8</v>
      </c>
      <c r="N556">
        <v>4</v>
      </c>
      <c r="O556">
        <v>2</v>
      </c>
      <c r="P556">
        <v>62.8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6</v>
      </c>
      <c r="AA556">
        <v>34</v>
      </c>
      <c r="AC556">
        <v>102.8</v>
      </c>
    </row>
    <row r="557" spans="1:29">
      <c r="A557">
        <v>550</v>
      </c>
      <c r="B557">
        <v>3747</v>
      </c>
      <c r="C557" t="s">
        <v>1374</v>
      </c>
      <c r="D557" t="s">
        <v>1375</v>
      </c>
      <c r="E557" t="s">
        <v>15</v>
      </c>
      <c r="F557" t="s">
        <v>1376</v>
      </c>
      <c r="G557" t="str">
        <f>"00530072"</f>
        <v>00530072</v>
      </c>
      <c r="H557">
        <v>64.8</v>
      </c>
      <c r="I557">
        <v>0</v>
      </c>
      <c r="J557">
        <v>8</v>
      </c>
      <c r="M557">
        <v>8</v>
      </c>
      <c r="N557">
        <v>4</v>
      </c>
      <c r="O557">
        <v>2</v>
      </c>
      <c r="P557">
        <v>78.8</v>
      </c>
      <c r="Q557">
        <v>18</v>
      </c>
      <c r="R557">
        <v>18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18</v>
      </c>
      <c r="Z557">
        <v>6</v>
      </c>
      <c r="AA557">
        <v>0</v>
      </c>
      <c r="AC557">
        <v>102.8</v>
      </c>
    </row>
    <row r="558" spans="1:29">
      <c r="A558">
        <v>551</v>
      </c>
      <c r="B558">
        <v>427</v>
      </c>
      <c r="C558" t="s">
        <v>1377</v>
      </c>
      <c r="D558" t="s">
        <v>164</v>
      </c>
      <c r="E558" t="s">
        <v>15</v>
      </c>
      <c r="F558" t="s">
        <v>1378</v>
      </c>
      <c r="G558" t="str">
        <f>"201604001875"</f>
        <v>201604001875</v>
      </c>
      <c r="H558">
        <v>64.8</v>
      </c>
      <c r="I558">
        <v>10</v>
      </c>
      <c r="M558">
        <v>0</v>
      </c>
      <c r="N558">
        <v>4</v>
      </c>
      <c r="O558">
        <v>0</v>
      </c>
      <c r="P558">
        <v>78.8</v>
      </c>
      <c r="Q558">
        <v>18</v>
      </c>
      <c r="R558">
        <v>18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18</v>
      </c>
      <c r="Z558">
        <v>6</v>
      </c>
      <c r="AA558">
        <v>0</v>
      </c>
      <c r="AC558">
        <v>102.8</v>
      </c>
    </row>
    <row r="559" spans="1:29">
      <c r="A559">
        <v>552</v>
      </c>
      <c r="B559">
        <v>3932</v>
      </c>
      <c r="C559" t="s">
        <v>1379</v>
      </c>
      <c r="D559" t="s">
        <v>52</v>
      </c>
      <c r="E559" t="s">
        <v>36</v>
      </c>
      <c r="F559" t="s">
        <v>1380</v>
      </c>
      <c r="G559" t="str">
        <f>"00531295"</f>
        <v>00531295</v>
      </c>
      <c r="H559">
        <v>28.8</v>
      </c>
      <c r="I559">
        <v>10</v>
      </c>
      <c r="M559">
        <v>0</v>
      </c>
      <c r="N559">
        <v>4</v>
      </c>
      <c r="O559">
        <v>2</v>
      </c>
      <c r="P559">
        <v>44.8</v>
      </c>
      <c r="Q559">
        <v>52</v>
      </c>
      <c r="R559">
        <v>52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52</v>
      </c>
      <c r="Z559">
        <v>6</v>
      </c>
      <c r="AA559">
        <v>0</v>
      </c>
      <c r="AC559">
        <v>102.8</v>
      </c>
    </row>
    <row r="560" spans="1:29">
      <c r="A560">
        <v>553</v>
      </c>
      <c r="B560">
        <v>2502</v>
      </c>
      <c r="C560" t="s">
        <v>1381</v>
      </c>
      <c r="D560" t="s">
        <v>167</v>
      </c>
      <c r="E560" t="s">
        <v>79</v>
      </c>
      <c r="F560" t="s">
        <v>1382</v>
      </c>
      <c r="G560" t="str">
        <f>"00161580"</f>
        <v>00161580</v>
      </c>
      <c r="H560">
        <v>21.6</v>
      </c>
      <c r="I560">
        <v>10</v>
      </c>
      <c r="L560">
        <v>4</v>
      </c>
      <c r="M560">
        <v>4</v>
      </c>
      <c r="N560">
        <v>4</v>
      </c>
      <c r="O560">
        <v>2</v>
      </c>
      <c r="P560">
        <v>41.6</v>
      </c>
      <c r="Q560">
        <v>55</v>
      </c>
      <c r="R560">
        <v>55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55</v>
      </c>
      <c r="Z560">
        <v>6</v>
      </c>
      <c r="AA560">
        <v>0</v>
      </c>
      <c r="AC560">
        <v>102.6</v>
      </c>
    </row>
    <row r="561" spans="1:29">
      <c r="A561">
        <v>554</v>
      </c>
      <c r="B561">
        <v>4376</v>
      </c>
      <c r="C561" t="s">
        <v>1383</v>
      </c>
      <c r="D561" t="s">
        <v>588</v>
      </c>
      <c r="E561" t="s">
        <v>165</v>
      </c>
      <c r="F561" t="s">
        <v>1384</v>
      </c>
      <c r="G561" t="str">
        <f>"00157542"</f>
        <v>00157542</v>
      </c>
      <c r="H561">
        <v>21.6</v>
      </c>
      <c r="I561">
        <v>0</v>
      </c>
      <c r="M561">
        <v>0</v>
      </c>
      <c r="N561">
        <v>0</v>
      </c>
      <c r="O561">
        <v>2</v>
      </c>
      <c r="P561">
        <v>23.6</v>
      </c>
      <c r="Q561">
        <v>73</v>
      </c>
      <c r="R561">
        <v>73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73</v>
      </c>
      <c r="Z561">
        <v>6</v>
      </c>
      <c r="AA561">
        <v>0</v>
      </c>
      <c r="AC561">
        <v>102.6</v>
      </c>
    </row>
    <row r="562" spans="1:29">
      <c r="A562">
        <v>555</v>
      </c>
      <c r="B562">
        <v>4461</v>
      </c>
      <c r="C562" t="s">
        <v>1385</v>
      </c>
      <c r="D562" t="s">
        <v>1386</v>
      </c>
      <c r="E562" t="s">
        <v>1387</v>
      </c>
      <c r="F562" t="s">
        <v>1388</v>
      </c>
      <c r="G562" t="str">
        <f>"00499381"</f>
        <v>00499381</v>
      </c>
      <c r="H562">
        <v>21.6</v>
      </c>
      <c r="I562">
        <v>10</v>
      </c>
      <c r="M562">
        <v>0</v>
      </c>
      <c r="N562">
        <v>4</v>
      </c>
      <c r="O562">
        <v>2</v>
      </c>
      <c r="P562">
        <v>37.6</v>
      </c>
      <c r="Q562">
        <v>62</v>
      </c>
      <c r="R562">
        <v>62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62</v>
      </c>
      <c r="Z562">
        <v>3</v>
      </c>
      <c r="AA562">
        <v>0</v>
      </c>
      <c r="AC562">
        <v>102.6</v>
      </c>
    </row>
    <row r="563" spans="1:29">
      <c r="A563">
        <v>556</v>
      </c>
      <c r="B563">
        <v>1278</v>
      </c>
      <c r="C563" t="s">
        <v>1389</v>
      </c>
      <c r="D563" t="s">
        <v>1390</v>
      </c>
      <c r="E563" t="s">
        <v>89</v>
      </c>
      <c r="F563" t="s">
        <v>1391</v>
      </c>
      <c r="G563" t="str">
        <f>"00075627"</f>
        <v>00075627</v>
      </c>
      <c r="H563">
        <v>32.44</v>
      </c>
      <c r="I563">
        <v>10</v>
      </c>
      <c r="J563">
        <v>8</v>
      </c>
      <c r="M563">
        <v>8</v>
      </c>
      <c r="N563">
        <v>4</v>
      </c>
      <c r="O563">
        <v>2</v>
      </c>
      <c r="P563">
        <v>56.44</v>
      </c>
      <c r="Q563">
        <v>37</v>
      </c>
      <c r="R563">
        <v>37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37</v>
      </c>
      <c r="Z563">
        <v>9</v>
      </c>
      <c r="AA563">
        <v>0</v>
      </c>
      <c r="AC563">
        <v>102.44</v>
      </c>
    </row>
    <row r="564" spans="1:29">
      <c r="A564">
        <v>557</v>
      </c>
      <c r="B564">
        <v>1978</v>
      </c>
      <c r="C564" t="s">
        <v>1392</v>
      </c>
      <c r="D564" t="s">
        <v>175</v>
      </c>
      <c r="E564" t="s">
        <v>15</v>
      </c>
      <c r="F564" t="s">
        <v>1393</v>
      </c>
      <c r="G564" t="str">
        <f>"201511041912"</f>
        <v>201511041912</v>
      </c>
      <c r="H564">
        <v>28.36</v>
      </c>
      <c r="I564">
        <v>0</v>
      </c>
      <c r="M564">
        <v>0</v>
      </c>
      <c r="N564">
        <v>4</v>
      </c>
      <c r="O564">
        <v>0</v>
      </c>
      <c r="P564">
        <v>32.36</v>
      </c>
      <c r="Q564">
        <v>70</v>
      </c>
      <c r="R564">
        <v>70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70</v>
      </c>
      <c r="Z564">
        <v>0</v>
      </c>
      <c r="AA564">
        <v>0</v>
      </c>
      <c r="AC564">
        <v>102.36</v>
      </c>
    </row>
    <row r="565" spans="1:29">
      <c r="A565">
        <v>558</v>
      </c>
      <c r="B565">
        <v>2263</v>
      </c>
      <c r="C565" t="s">
        <v>1394</v>
      </c>
      <c r="D565" t="s">
        <v>175</v>
      </c>
      <c r="E565" t="s">
        <v>79</v>
      </c>
      <c r="F565" t="s">
        <v>1395</v>
      </c>
      <c r="G565" t="str">
        <f>"00030491"</f>
        <v>00030491</v>
      </c>
      <c r="H565">
        <v>37.200000000000003</v>
      </c>
      <c r="I565">
        <v>0</v>
      </c>
      <c r="J565">
        <v>8</v>
      </c>
      <c r="M565">
        <v>8</v>
      </c>
      <c r="N565">
        <v>4</v>
      </c>
      <c r="O565">
        <v>2</v>
      </c>
      <c r="P565">
        <v>51.2</v>
      </c>
      <c r="Q565">
        <v>36</v>
      </c>
      <c r="R565">
        <v>36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36</v>
      </c>
      <c r="Z565">
        <v>15</v>
      </c>
      <c r="AA565">
        <v>0</v>
      </c>
      <c r="AC565">
        <v>102.2</v>
      </c>
    </row>
    <row r="566" spans="1:29">
      <c r="A566">
        <v>559</v>
      </c>
      <c r="B566">
        <v>1290</v>
      </c>
      <c r="C566" t="s">
        <v>1396</v>
      </c>
      <c r="D566" t="s">
        <v>1397</v>
      </c>
      <c r="E566" t="s">
        <v>1398</v>
      </c>
      <c r="F566" t="s">
        <v>1399</v>
      </c>
      <c r="G566" t="str">
        <f>"00161163"</f>
        <v>00161163</v>
      </c>
      <c r="H566">
        <v>39.200000000000003</v>
      </c>
      <c r="I566">
        <v>10</v>
      </c>
      <c r="L566">
        <v>4</v>
      </c>
      <c r="M566">
        <v>4</v>
      </c>
      <c r="N566">
        <v>4</v>
      </c>
      <c r="O566">
        <v>2</v>
      </c>
      <c r="P566">
        <v>59.2</v>
      </c>
      <c r="Q566">
        <v>43</v>
      </c>
      <c r="R566">
        <v>43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43</v>
      </c>
      <c r="Z566">
        <v>0</v>
      </c>
      <c r="AA566">
        <v>0</v>
      </c>
      <c r="AC566">
        <v>102.2</v>
      </c>
    </row>
    <row r="567" spans="1:29">
      <c r="A567">
        <v>560</v>
      </c>
      <c r="B567">
        <v>2344</v>
      </c>
      <c r="C567" t="s">
        <v>1400</v>
      </c>
      <c r="D567" t="s">
        <v>130</v>
      </c>
      <c r="E567" t="s">
        <v>156</v>
      </c>
      <c r="F567" t="s">
        <v>1401</v>
      </c>
      <c r="G567" t="str">
        <f>"00513761"</f>
        <v>00513761</v>
      </c>
      <c r="H567">
        <v>26.16</v>
      </c>
      <c r="I567">
        <v>0</v>
      </c>
      <c r="M567">
        <v>0</v>
      </c>
      <c r="N567">
        <v>4</v>
      </c>
      <c r="O567">
        <v>2</v>
      </c>
      <c r="P567">
        <v>32.159999999999997</v>
      </c>
      <c r="Q567">
        <v>67</v>
      </c>
      <c r="R567">
        <v>67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67</v>
      </c>
      <c r="Z567">
        <v>3</v>
      </c>
      <c r="AA567">
        <v>0</v>
      </c>
      <c r="AC567">
        <v>102.16</v>
      </c>
    </row>
    <row r="568" spans="1:29">
      <c r="A568">
        <v>561</v>
      </c>
      <c r="B568">
        <v>1553</v>
      </c>
      <c r="C568" t="s">
        <v>1402</v>
      </c>
      <c r="D568" t="s">
        <v>205</v>
      </c>
      <c r="E568" t="s">
        <v>237</v>
      </c>
      <c r="F568" t="s">
        <v>1403</v>
      </c>
      <c r="G568" t="str">
        <f>"00501661"</f>
        <v>00501661</v>
      </c>
      <c r="H568">
        <v>0</v>
      </c>
      <c r="I568">
        <v>0</v>
      </c>
      <c r="J568">
        <v>8</v>
      </c>
      <c r="M568">
        <v>8</v>
      </c>
      <c r="N568">
        <v>4</v>
      </c>
      <c r="O568">
        <v>2</v>
      </c>
      <c r="P568">
        <v>14</v>
      </c>
      <c r="Q568">
        <v>82</v>
      </c>
      <c r="R568">
        <v>82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82</v>
      </c>
      <c r="Z568">
        <v>6</v>
      </c>
      <c r="AA568">
        <v>0</v>
      </c>
      <c r="AC568">
        <v>102</v>
      </c>
    </row>
    <row r="569" spans="1:29">
      <c r="A569">
        <v>562</v>
      </c>
      <c r="B569">
        <v>1072</v>
      </c>
      <c r="C569" t="s">
        <v>1404</v>
      </c>
      <c r="D569" t="s">
        <v>31</v>
      </c>
      <c r="E569" t="s">
        <v>967</v>
      </c>
      <c r="F569" t="s">
        <v>1405</v>
      </c>
      <c r="G569" t="str">
        <f>"00530118"</f>
        <v>00530118</v>
      </c>
      <c r="H569">
        <v>72</v>
      </c>
      <c r="I569">
        <v>10</v>
      </c>
      <c r="L569">
        <v>4</v>
      </c>
      <c r="M569">
        <v>4</v>
      </c>
      <c r="N569">
        <v>4</v>
      </c>
      <c r="O569">
        <v>2</v>
      </c>
      <c r="P569">
        <v>92</v>
      </c>
      <c r="Q569">
        <v>10</v>
      </c>
      <c r="R569">
        <v>10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10</v>
      </c>
      <c r="Z569">
        <v>0</v>
      </c>
      <c r="AA569">
        <v>0</v>
      </c>
      <c r="AC569">
        <v>102</v>
      </c>
    </row>
    <row r="570" spans="1:29">
      <c r="A570">
        <v>563</v>
      </c>
      <c r="B570">
        <v>4615</v>
      </c>
      <c r="C570" t="s">
        <v>1406</v>
      </c>
      <c r="D570" t="s">
        <v>733</v>
      </c>
      <c r="E570" t="s">
        <v>436</v>
      </c>
      <c r="F570" t="s">
        <v>1407</v>
      </c>
      <c r="G570" t="str">
        <f>"00442218"</f>
        <v>00442218</v>
      </c>
      <c r="H570">
        <v>36</v>
      </c>
      <c r="I570">
        <v>10</v>
      </c>
      <c r="M570">
        <v>0</v>
      </c>
      <c r="N570">
        <v>4</v>
      </c>
      <c r="O570">
        <v>2</v>
      </c>
      <c r="P570">
        <v>52</v>
      </c>
      <c r="Q570">
        <v>50</v>
      </c>
      <c r="R570">
        <v>50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50</v>
      </c>
      <c r="Z570">
        <v>0</v>
      </c>
      <c r="AA570">
        <v>0</v>
      </c>
      <c r="AC570">
        <v>102</v>
      </c>
    </row>
    <row r="571" spans="1:29">
      <c r="A571">
        <v>564</v>
      </c>
      <c r="B571">
        <v>2888</v>
      </c>
      <c r="C571" t="s">
        <v>1408</v>
      </c>
      <c r="D571" t="s">
        <v>930</v>
      </c>
      <c r="E571" t="s">
        <v>889</v>
      </c>
      <c r="F571" t="s">
        <v>1409</v>
      </c>
      <c r="G571" t="str">
        <f>"00534047"</f>
        <v>00534047</v>
      </c>
      <c r="H571">
        <v>24.92</v>
      </c>
      <c r="I571">
        <v>10</v>
      </c>
      <c r="M571">
        <v>0</v>
      </c>
      <c r="N571">
        <v>4</v>
      </c>
      <c r="O571">
        <v>2</v>
      </c>
      <c r="P571">
        <v>40.92</v>
      </c>
      <c r="Q571">
        <v>61</v>
      </c>
      <c r="R571">
        <v>61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61</v>
      </c>
      <c r="Z571">
        <v>0</v>
      </c>
      <c r="AA571">
        <v>0</v>
      </c>
      <c r="AC571">
        <v>101.92</v>
      </c>
    </row>
    <row r="572" spans="1:29">
      <c r="A572">
        <v>565</v>
      </c>
      <c r="B572">
        <v>4283</v>
      </c>
      <c r="C572" t="s">
        <v>1410</v>
      </c>
      <c r="D572" t="s">
        <v>52</v>
      </c>
      <c r="E572" t="s">
        <v>79</v>
      </c>
      <c r="F572" t="s">
        <v>1411</v>
      </c>
      <c r="G572" t="str">
        <f>"201406009796"</f>
        <v>201406009796</v>
      </c>
      <c r="H572">
        <v>28.8</v>
      </c>
      <c r="I572">
        <v>10</v>
      </c>
      <c r="J572">
        <v>8</v>
      </c>
      <c r="L572">
        <v>4</v>
      </c>
      <c r="M572">
        <v>12</v>
      </c>
      <c r="N572">
        <v>4</v>
      </c>
      <c r="O572">
        <v>2</v>
      </c>
      <c r="P572">
        <v>56.8</v>
      </c>
      <c r="Q572">
        <v>45</v>
      </c>
      <c r="R572">
        <v>45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45</v>
      </c>
      <c r="Z572">
        <v>0</v>
      </c>
      <c r="AA572">
        <v>0</v>
      </c>
      <c r="AC572">
        <v>101.8</v>
      </c>
    </row>
    <row r="573" spans="1:29">
      <c r="A573">
        <v>566</v>
      </c>
      <c r="B573">
        <v>1632</v>
      </c>
      <c r="C573" t="s">
        <v>1412</v>
      </c>
      <c r="D573" t="s">
        <v>1413</v>
      </c>
      <c r="E573" t="s">
        <v>53</v>
      </c>
      <c r="F573" t="s">
        <v>1414</v>
      </c>
      <c r="G573" t="str">
        <f>"00531153"</f>
        <v>00531153</v>
      </c>
      <c r="H573">
        <v>33.76</v>
      </c>
      <c r="I573">
        <v>0</v>
      </c>
      <c r="J573">
        <v>8</v>
      </c>
      <c r="M573">
        <v>8</v>
      </c>
      <c r="N573">
        <v>4</v>
      </c>
      <c r="O573">
        <v>0</v>
      </c>
      <c r="P573">
        <v>45.76</v>
      </c>
      <c r="Q573">
        <v>47</v>
      </c>
      <c r="R573">
        <v>47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47</v>
      </c>
      <c r="Z573">
        <v>9</v>
      </c>
      <c r="AA573">
        <v>0</v>
      </c>
      <c r="AC573">
        <v>101.76</v>
      </c>
    </row>
    <row r="574" spans="1:29">
      <c r="A574">
        <v>567</v>
      </c>
      <c r="B574">
        <v>709</v>
      </c>
      <c r="C574" t="s">
        <v>1415</v>
      </c>
      <c r="D574" t="s">
        <v>108</v>
      </c>
      <c r="E574" t="s">
        <v>134</v>
      </c>
      <c r="F574" t="s">
        <v>1416</v>
      </c>
      <c r="G574" t="str">
        <f>"201511017273"</f>
        <v>201511017273</v>
      </c>
      <c r="H574">
        <v>34.68</v>
      </c>
      <c r="I574">
        <v>0</v>
      </c>
      <c r="J574">
        <v>8</v>
      </c>
      <c r="M574">
        <v>8</v>
      </c>
      <c r="N574">
        <v>4</v>
      </c>
      <c r="O574">
        <v>2</v>
      </c>
      <c r="P574">
        <v>48.68</v>
      </c>
      <c r="Q574">
        <v>47</v>
      </c>
      <c r="R574">
        <v>47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47</v>
      </c>
      <c r="Z574">
        <v>6</v>
      </c>
      <c r="AA574">
        <v>0</v>
      </c>
      <c r="AC574">
        <v>101.68</v>
      </c>
    </row>
    <row r="575" spans="1:29">
      <c r="A575">
        <v>568</v>
      </c>
      <c r="B575">
        <v>1656</v>
      </c>
      <c r="C575" t="s">
        <v>1417</v>
      </c>
      <c r="D575" t="s">
        <v>27</v>
      </c>
      <c r="E575" t="s">
        <v>187</v>
      </c>
      <c r="F575" t="s">
        <v>1418</v>
      </c>
      <c r="G575" t="str">
        <f>"200805001275"</f>
        <v>200805001275</v>
      </c>
      <c r="H575">
        <v>57.6</v>
      </c>
      <c r="I575">
        <v>10</v>
      </c>
      <c r="L575">
        <v>4</v>
      </c>
      <c r="M575">
        <v>4</v>
      </c>
      <c r="N575">
        <v>4</v>
      </c>
      <c r="O575">
        <v>2</v>
      </c>
      <c r="P575">
        <v>77.599999999999994</v>
      </c>
      <c r="Q575">
        <v>18</v>
      </c>
      <c r="R575">
        <v>18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18</v>
      </c>
      <c r="Z575">
        <v>6</v>
      </c>
      <c r="AA575">
        <v>0</v>
      </c>
      <c r="AC575">
        <v>101.6</v>
      </c>
    </row>
    <row r="576" spans="1:29">
      <c r="A576">
        <v>569</v>
      </c>
      <c r="B576">
        <v>1738</v>
      </c>
      <c r="C576" t="s">
        <v>1419</v>
      </c>
      <c r="D576" t="s">
        <v>86</v>
      </c>
      <c r="E576" t="s">
        <v>18</v>
      </c>
      <c r="F576" t="s">
        <v>1420</v>
      </c>
      <c r="G576" t="str">
        <f>"00526616"</f>
        <v>00526616</v>
      </c>
      <c r="H576">
        <v>50.4</v>
      </c>
      <c r="I576">
        <v>10</v>
      </c>
      <c r="M576">
        <v>0</v>
      </c>
      <c r="N576">
        <v>4</v>
      </c>
      <c r="O576">
        <v>0</v>
      </c>
      <c r="P576">
        <v>64.400000000000006</v>
      </c>
      <c r="Q576">
        <v>34</v>
      </c>
      <c r="R576">
        <v>34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34</v>
      </c>
      <c r="Z576">
        <v>3</v>
      </c>
      <c r="AA576">
        <v>0</v>
      </c>
      <c r="AC576">
        <v>101.4</v>
      </c>
    </row>
    <row r="577" spans="1:29">
      <c r="A577">
        <v>570</v>
      </c>
      <c r="B577">
        <v>3444</v>
      </c>
      <c r="C577" t="s">
        <v>1168</v>
      </c>
      <c r="D577" t="s">
        <v>433</v>
      </c>
      <c r="E577" t="s">
        <v>15</v>
      </c>
      <c r="F577" t="s">
        <v>1421</v>
      </c>
      <c r="G577" t="str">
        <f>"00503145"</f>
        <v>00503145</v>
      </c>
      <c r="H577">
        <v>24.4</v>
      </c>
      <c r="I577">
        <v>10</v>
      </c>
      <c r="M577">
        <v>0</v>
      </c>
      <c r="N577">
        <v>4</v>
      </c>
      <c r="O577">
        <v>0</v>
      </c>
      <c r="P577">
        <v>38.4</v>
      </c>
      <c r="Q577">
        <v>60</v>
      </c>
      <c r="R577">
        <v>60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60</v>
      </c>
      <c r="Z577">
        <v>3</v>
      </c>
      <c r="AA577">
        <v>0</v>
      </c>
      <c r="AC577">
        <v>101.4</v>
      </c>
    </row>
    <row r="578" spans="1:29">
      <c r="A578">
        <v>571</v>
      </c>
      <c r="B578">
        <v>3392</v>
      </c>
      <c r="C578" t="s">
        <v>1422</v>
      </c>
      <c r="D578" t="s">
        <v>276</v>
      </c>
      <c r="E578" t="s">
        <v>28</v>
      </c>
      <c r="F578" t="s">
        <v>1423</v>
      </c>
      <c r="G578" t="str">
        <f>"201406005096"</f>
        <v>201406005096</v>
      </c>
      <c r="H578">
        <v>50.4</v>
      </c>
      <c r="I578">
        <v>0</v>
      </c>
      <c r="J578">
        <v>8</v>
      </c>
      <c r="M578">
        <v>8</v>
      </c>
      <c r="N578">
        <v>4</v>
      </c>
      <c r="O578">
        <v>2</v>
      </c>
      <c r="P578">
        <v>64.400000000000006</v>
      </c>
      <c r="Q578">
        <v>37</v>
      </c>
      <c r="R578">
        <v>37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37</v>
      </c>
      <c r="Z578">
        <v>0</v>
      </c>
      <c r="AA578">
        <v>0</v>
      </c>
      <c r="AB578" t="s">
        <v>128</v>
      </c>
      <c r="AC578">
        <v>101.4</v>
      </c>
    </row>
    <row r="579" spans="1:29">
      <c r="A579">
        <v>572</v>
      </c>
      <c r="B579">
        <v>122</v>
      </c>
      <c r="C579" t="s">
        <v>490</v>
      </c>
      <c r="D579" t="s">
        <v>694</v>
      </c>
      <c r="E579" t="s">
        <v>53</v>
      </c>
      <c r="F579" t="s">
        <v>1424</v>
      </c>
      <c r="G579" t="str">
        <f>"00496959"</f>
        <v>00496959</v>
      </c>
      <c r="H579">
        <v>20.36</v>
      </c>
      <c r="I579">
        <v>0</v>
      </c>
      <c r="J579">
        <v>8</v>
      </c>
      <c r="M579">
        <v>8</v>
      </c>
      <c r="N579">
        <v>4</v>
      </c>
      <c r="O579">
        <v>2</v>
      </c>
      <c r="P579">
        <v>34.36</v>
      </c>
      <c r="Q579">
        <v>58</v>
      </c>
      <c r="R579">
        <v>58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58</v>
      </c>
      <c r="Z579">
        <v>9</v>
      </c>
      <c r="AA579">
        <v>0</v>
      </c>
      <c r="AC579">
        <v>101.36</v>
      </c>
    </row>
    <row r="580" spans="1:29">
      <c r="A580">
        <v>573</v>
      </c>
      <c r="B580">
        <v>1934</v>
      </c>
      <c r="C580" t="s">
        <v>1425</v>
      </c>
      <c r="D580" t="s">
        <v>1426</v>
      </c>
      <c r="E580" t="s">
        <v>369</v>
      </c>
      <c r="F580" t="s">
        <v>1427</v>
      </c>
      <c r="G580" t="str">
        <f>"201406007698"</f>
        <v>201406007698</v>
      </c>
      <c r="H580">
        <v>43.2</v>
      </c>
      <c r="I580">
        <v>0</v>
      </c>
      <c r="L580">
        <v>4</v>
      </c>
      <c r="M580">
        <v>4</v>
      </c>
      <c r="N580">
        <v>4</v>
      </c>
      <c r="O580">
        <v>0</v>
      </c>
      <c r="P580">
        <v>51.2</v>
      </c>
      <c r="Q580">
        <v>38</v>
      </c>
      <c r="R580">
        <v>38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38</v>
      </c>
      <c r="Z580">
        <v>12</v>
      </c>
      <c r="AA580">
        <v>0</v>
      </c>
      <c r="AC580">
        <v>101.2</v>
      </c>
    </row>
    <row r="581" spans="1:29">
      <c r="A581">
        <v>574</v>
      </c>
      <c r="B581">
        <v>3942</v>
      </c>
      <c r="C581" t="s">
        <v>1428</v>
      </c>
      <c r="D581" t="s">
        <v>205</v>
      </c>
      <c r="E581" t="s">
        <v>18</v>
      </c>
      <c r="F581" t="s">
        <v>1429</v>
      </c>
      <c r="G581" t="str">
        <f>"00496911"</f>
        <v>00496911</v>
      </c>
      <c r="H581">
        <v>43.2</v>
      </c>
      <c r="I581">
        <v>0</v>
      </c>
      <c r="J581">
        <v>8</v>
      </c>
      <c r="M581">
        <v>8</v>
      </c>
      <c r="N581">
        <v>4</v>
      </c>
      <c r="O581">
        <v>0</v>
      </c>
      <c r="P581">
        <v>55.2</v>
      </c>
      <c r="Q581">
        <v>46</v>
      </c>
      <c r="R581">
        <v>46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46</v>
      </c>
      <c r="Z581">
        <v>0</v>
      </c>
      <c r="AA581">
        <v>0</v>
      </c>
      <c r="AC581">
        <v>101.2</v>
      </c>
    </row>
    <row r="582" spans="1:29">
      <c r="A582">
        <v>575</v>
      </c>
      <c r="B582">
        <v>3099</v>
      </c>
      <c r="C582" t="s">
        <v>1430</v>
      </c>
      <c r="D582" t="s">
        <v>20</v>
      </c>
      <c r="E582" t="s">
        <v>115</v>
      </c>
      <c r="F582" t="s">
        <v>1431</v>
      </c>
      <c r="G582" t="str">
        <f>"00531359"</f>
        <v>00531359</v>
      </c>
      <c r="H582">
        <v>43.2</v>
      </c>
      <c r="I582">
        <v>10</v>
      </c>
      <c r="M582">
        <v>0</v>
      </c>
      <c r="N582">
        <v>0</v>
      </c>
      <c r="O582">
        <v>2</v>
      </c>
      <c r="P582">
        <v>55.2</v>
      </c>
      <c r="Q582">
        <v>46</v>
      </c>
      <c r="R582">
        <v>46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46</v>
      </c>
      <c r="Z582">
        <v>0</v>
      </c>
      <c r="AA582">
        <v>0</v>
      </c>
      <c r="AC582">
        <v>101.2</v>
      </c>
    </row>
    <row r="583" spans="1:29">
      <c r="A583">
        <v>576</v>
      </c>
      <c r="B583">
        <v>886</v>
      </c>
      <c r="C583" t="s">
        <v>1432</v>
      </c>
      <c r="D583" t="s">
        <v>27</v>
      </c>
      <c r="E583" t="s">
        <v>28</v>
      </c>
      <c r="F583" t="s">
        <v>1433</v>
      </c>
      <c r="G583" t="str">
        <f>"00193042"</f>
        <v>00193042</v>
      </c>
      <c r="H583">
        <v>36.08</v>
      </c>
      <c r="I583">
        <v>10</v>
      </c>
      <c r="L583">
        <v>4</v>
      </c>
      <c r="M583">
        <v>4</v>
      </c>
      <c r="N583">
        <v>4</v>
      </c>
      <c r="O583">
        <v>2</v>
      </c>
      <c r="P583">
        <v>56.08</v>
      </c>
      <c r="Q583">
        <v>36</v>
      </c>
      <c r="R583">
        <v>36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36</v>
      </c>
      <c r="Z583">
        <v>9</v>
      </c>
      <c r="AA583">
        <v>0</v>
      </c>
      <c r="AC583">
        <v>101.08</v>
      </c>
    </row>
    <row r="584" spans="1:29">
      <c r="A584">
        <v>577</v>
      </c>
      <c r="B584">
        <v>3243</v>
      </c>
      <c r="C584" t="s">
        <v>1434</v>
      </c>
      <c r="D584" t="s">
        <v>52</v>
      </c>
      <c r="E584" t="s">
        <v>32</v>
      </c>
      <c r="F584" t="s">
        <v>1435</v>
      </c>
      <c r="G584" t="str">
        <f>"00497656"</f>
        <v>00497656</v>
      </c>
      <c r="H584">
        <v>36</v>
      </c>
      <c r="I584">
        <v>0</v>
      </c>
      <c r="M584">
        <v>0</v>
      </c>
      <c r="N584">
        <v>4</v>
      </c>
      <c r="O584">
        <v>0</v>
      </c>
      <c r="P584">
        <v>40</v>
      </c>
      <c r="Q584">
        <v>55</v>
      </c>
      <c r="R584">
        <v>55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55</v>
      </c>
      <c r="Z584">
        <v>6</v>
      </c>
      <c r="AA584">
        <v>0</v>
      </c>
      <c r="AC584">
        <v>101</v>
      </c>
    </row>
    <row r="585" spans="1:29">
      <c r="A585">
        <v>578</v>
      </c>
      <c r="B585">
        <v>3753</v>
      </c>
      <c r="C585" t="s">
        <v>1436</v>
      </c>
      <c r="D585" t="s">
        <v>314</v>
      </c>
      <c r="E585" t="s">
        <v>156</v>
      </c>
      <c r="F585" t="s">
        <v>1437</v>
      </c>
      <c r="G585" t="str">
        <f>"00483118"</f>
        <v>00483118</v>
      </c>
      <c r="H585">
        <v>36</v>
      </c>
      <c r="I585">
        <v>0</v>
      </c>
      <c r="M585">
        <v>0</v>
      </c>
      <c r="N585">
        <v>0</v>
      </c>
      <c r="O585">
        <v>0</v>
      </c>
      <c r="P585">
        <v>36</v>
      </c>
      <c r="Q585">
        <v>65</v>
      </c>
      <c r="R585">
        <v>65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65</v>
      </c>
      <c r="Z585">
        <v>0</v>
      </c>
      <c r="AA585">
        <v>0</v>
      </c>
      <c r="AC585">
        <v>101</v>
      </c>
    </row>
    <row r="586" spans="1:29">
      <c r="A586">
        <v>579</v>
      </c>
      <c r="B586">
        <v>811</v>
      </c>
      <c r="C586" t="s">
        <v>1438</v>
      </c>
      <c r="D586" t="s">
        <v>1439</v>
      </c>
      <c r="E586" t="s">
        <v>122</v>
      </c>
      <c r="F586" t="s">
        <v>1440</v>
      </c>
      <c r="G586" t="str">
        <f>"00362448"</f>
        <v>00362448</v>
      </c>
      <c r="H586">
        <v>38</v>
      </c>
      <c r="I586">
        <v>0</v>
      </c>
      <c r="J586">
        <v>8</v>
      </c>
      <c r="L586">
        <v>4</v>
      </c>
      <c r="M586">
        <v>12</v>
      </c>
      <c r="N586">
        <v>4</v>
      </c>
      <c r="O586">
        <v>2</v>
      </c>
      <c r="P586">
        <v>56</v>
      </c>
      <c r="Q586">
        <v>18</v>
      </c>
      <c r="R586">
        <v>18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18</v>
      </c>
      <c r="Z586">
        <v>0</v>
      </c>
      <c r="AA586">
        <v>26.8</v>
      </c>
      <c r="AC586">
        <v>100.8</v>
      </c>
    </row>
    <row r="587" spans="1:29">
      <c r="A587">
        <v>580</v>
      </c>
      <c r="B587">
        <v>1545</v>
      </c>
      <c r="C587" t="s">
        <v>1441</v>
      </c>
      <c r="D587" t="s">
        <v>31</v>
      </c>
      <c r="E587" t="s">
        <v>156</v>
      </c>
      <c r="F587" t="s">
        <v>1442</v>
      </c>
      <c r="G587" t="str">
        <f>"00488436"</f>
        <v>00488436</v>
      </c>
      <c r="H587">
        <v>28.8</v>
      </c>
      <c r="I587">
        <v>0</v>
      </c>
      <c r="J587">
        <v>8</v>
      </c>
      <c r="M587">
        <v>8</v>
      </c>
      <c r="N587">
        <v>4</v>
      </c>
      <c r="O587">
        <v>2</v>
      </c>
      <c r="P587">
        <v>42.8</v>
      </c>
      <c r="Q587">
        <v>52</v>
      </c>
      <c r="R587">
        <v>52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52</v>
      </c>
      <c r="Z587">
        <v>6</v>
      </c>
      <c r="AA587">
        <v>0</v>
      </c>
      <c r="AC587">
        <v>100.8</v>
      </c>
    </row>
    <row r="588" spans="1:29">
      <c r="A588">
        <v>581</v>
      </c>
      <c r="B588">
        <v>4831</v>
      </c>
      <c r="C588" t="s">
        <v>986</v>
      </c>
      <c r="D588" t="s">
        <v>258</v>
      </c>
      <c r="E588" t="s">
        <v>134</v>
      </c>
      <c r="F588" t="s">
        <v>1443</v>
      </c>
      <c r="G588" t="str">
        <f>"00441928"</f>
        <v>00441928</v>
      </c>
      <c r="H588">
        <v>28.8</v>
      </c>
      <c r="I588">
        <v>10</v>
      </c>
      <c r="M588">
        <v>0</v>
      </c>
      <c r="N588">
        <v>0</v>
      </c>
      <c r="O588">
        <v>2</v>
      </c>
      <c r="P588">
        <v>40.799999999999997</v>
      </c>
      <c r="Q588">
        <v>60</v>
      </c>
      <c r="R588">
        <v>60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60</v>
      </c>
      <c r="Z588">
        <v>0</v>
      </c>
      <c r="AA588">
        <v>0</v>
      </c>
      <c r="AC588">
        <v>100.8</v>
      </c>
    </row>
    <row r="589" spans="1:29">
      <c r="A589">
        <v>582</v>
      </c>
      <c r="B589">
        <v>1154</v>
      </c>
      <c r="C589" t="s">
        <v>1446</v>
      </c>
      <c r="D589" t="s">
        <v>1447</v>
      </c>
      <c r="E589" t="s">
        <v>18</v>
      </c>
      <c r="F589" t="s">
        <v>1448</v>
      </c>
      <c r="G589" t="str">
        <f>"00258268"</f>
        <v>00258268</v>
      </c>
      <c r="H589">
        <v>28.8</v>
      </c>
      <c r="I589">
        <v>0</v>
      </c>
      <c r="L589">
        <v>4</v>
      </c>
      <c r="M589">
        <v>4</v>
      </c>
      <c r="N589">
        <v>4</v>
      </c>
      <c r="O589">
        <v>2</v>
      </c>
      <c r="P589">
        <v>38.799999999999997</v>
      </c>
      <c r="Q589">
        <v>62</v>
      </c>
      <c r="R589">
        <v>62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62</v>
      </c>
      <c r="Z589">
        <v>0</v>
      </c>
      <c r="AA589">
        <v>0</v>
      </c>
      <c r="AC589">
        <v>100.8</v>
      </c>
    </row>
    <row r="590" spans="1:29">
      <c r="A590">
        <v>583</v>
      </c>
      <c r="B590">
        <v>2170</v>
      </c>
      <c r="C590" t="s">
        <v>1444</v>
      </c>
      <c r="D590" t="s">
        <v>24</v>
      </c>
      <c r="E590" t="s">
        <v>36</v>
      </c>
      <c r="F590" t="s">
        <v>1445</v>
      </c>
      <c r="G590" t="str">
        <f>"00441550"</f>
        <v>00441550</v>
      </c>
      <c r="H590">
        <v>28.8</v>
      </c>
      <c r="I590">
        <v>0</v>
      </c>
      <c r="L590">
        <v>4</v>
      </c>
      <c r="M590">
        <v>4</v>
      </c>
      <c r="N590">
        <v>4</v>
      </c>
      <c r="O590">
        <v>2</v>
      </c>
      <c r="P590">
        <v>38.799999999999997</v>
      </c>
      <c r="Q590">
        <v>62</v>
      </c>
      <c r="R590">
        <v>62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62</v>
      </c>
      <c r="Z590">
        <v>0</v>
      </c>
      <c r="AA590">
        <v>0</v>
      </c>
      <c r="AC590">
        <v>100.8</v>
      </c>
    </row>
    <row r="591" spans="1:29">
      <c r="A591">
        <v>584</v>
      </c>
      <c r="B591">
        <v>1029</v>
      </c>
      <c r="C591" t="s">
        <v>1449</v>
      </c>
      <c r="D591" t="s">
        <v>1278</v>
      </c>
      <c r="E591" t="s">
        <v>1450</v>
      </c>
      <c r="F591" t="s">
        <v>1451</v>
      </c>
      <c r="G591" t="str">
        <f>"00502600"</f>
        <v>00502600</v>
      </c>
      <c r="H591">
        <v>33.76</v>
      </c>
      <c r="I591">
        <v>10</v>
      </c>
      <c r="M591">
        <v>0</v>
      </c>
      <c r="N591">
        <v>4</v>
      </c>
      <c r="O591">
        <v>2</v>
      </c>
      <c r="P591">
        <v>49.76</v>
      </c>
      <c r="Q591">
        <v>45</v>
      </c>
      <c r="R591">
        <v>45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45</v>
      </c>
      <c r="Z591">
        <v>6</v>
      </c>
      <c r="AA591">
        <v>0</v>
      </c>
      <c r="AC591">
        <v>100.76</v>
      </c>
    </row>
    <row r="592" spans="1:29">
      <c r="A592">
        <v>585</v>
      </c>
      <c r="B592">
        <v>3044</v>
      </c>
      <c r="C592" t="s">
        <v>1452</v>
      </c>
      <c r="D592" t="s">
        <v>205</v>
      </c>
      <c r="E592" t="s">
        <v>79</v>
      </c>
      <c r="F592" t="s">
        <v>1453</v>
      </c>
      <c r="G592" t="str">
        <f>"00483835"</f>
        <v>00483835</v>
      </c>
      <c r="H592">
        <v>21.76</v>
      </c>
      <c r="I592">
        <v>0</v>
      </c>
      <c r="L592">
        <v>4</v>
      </c>
      <c r="M592">
        <v>4</v>
      </c>
      <c r="N592">
        <v>4</v>
      </c>
      <c r="O592">
        <v>2</v>
      </c>
      <c r="P592">
        <v>31.76</v>
      </c>
      <c r="Q592">
        <v>69</v>
      </c>
      <c r="R592">
        <v>69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69</v>
      </c>
      <c r="Z592">
        <v>0</v>
      </c>
      <c r="AA592">
        <v>0</v>
      </c>
      <c r="AC592">
        <v>100.76</v>
      </c>
    </row>
    <row r="593" spans="1:29">
      <c r="A593">
        <v>586</v>
      </c>
      <c r="B593">
        <v>9</v>
      </c>
      <c r="C593" t="s">
        <v>58</v>
      </c>
      <c r="D593" t="s">
        <v>27</v>
      </c>
      <c r="E593" t="s">
        <v>15</v>
      </c>
      <c r="F593" t="s">
        <v>1454</v>
      </c>
      <c r="G593" t="str">
        <f>"00493646"</f>
        <v>00493646</v>
      </c>
      <c r="H593">
        <v>38.68</v>
      </c>
      <c r="I593">
        <v>10</v>
      </c>
      <c r="L593">
        <v>4</v>
      </c>
      <c r="M593">
        <v>4</v>
      </c>
      <c r="N593">
        <v>4</v>
      </c>
      <c r="O593">
        <v>2</v>
      </c>
      <c r="P593">
        <v>58.68</v>
      </c>
      <c r="Q593">
        <v>0</v>
      </c>
      <c r="R593">
        <v>0</v>
      </c>
      <c r="S593">
        <v>18</v>
      </c>
      <c r="T593">
        <v>36</v>
      </c>
      <c r="U593">
        <v>0</v>
      </c>
      <c r="V593">
        <v>0</v>
      </c>
      <c r="W593">
        <v>0</v>
      </c>
      <c r="X593">
        <v>0</v>
      </c>
      <c r="Y593">
        <v>36</v>
      </c>
      <c r="Z593">
        <v>6</v>
      </c>
      <c r="AA593">
        <v>0</v>
      </c>
      <c r="AC593">
        <v>100.68</v>
      </c>
    </row>
    <row r="594" spans="1:29">
      <c r="A594">
        <v>587</v>
      </c>
      <c r="B594">
        <v>2462</v>
      </c>
      <c r="C594" t="s">
        <v>1455</v>
      </c>
      <c r="D594" t="s">
        <v>147</v>
      </c>
      <c r="E594" t="s">
        <v>79</v>
      </c>
      <c r="F594" t="s">
        <v>1456</v>
      </c>
      <c r="G594" t="str">
        <f>"00481337"</f>
        <v>00481337</v>
      </c>
      <c r="H594">
        <v>21.6</v>
      </c>
      <c r="I594">
        <v>0</v>
      </c>
      <c r="L594">
        <v>4</v>
      </c>
      <c r="M594">
        <v>4</v>
      </c>
      <c r="N594">
        <v>4</v>
      </c>
      <c r="O594">
        <v>2</v>
      </c>
      <c r="P594">
        <v>31.6</v>
      </c>
      <c r="Q594">
        <v>66</v>
      </c>
      <c r="R594">
        <v>66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66</v>
      </c>
      <c r="Z594">
        <v>3</v>
      </c>
      <c r="AA594">
        <v>0</v>
      </c>
      <c r="AC594">
        <v>100.6</v>
      </c>
    </row>
    <row r="595" spans="1:29">
      <c r="A595">
        <v>588</v>
      </c>
      <c r="B595">
        <v>1012</v>
      </c>
      <c r="C595" t="s">
        <v>1457</v>
      </c>
      <c r="D595" t="s">
        <v>1458</v>
      </c>
      <c r="E595" t="s">
        <v>79</v>
      </c>
      <c r="F595" t="s">
        <v>1459</v>
      </c>
      <c r="G595" t="str">
        <f>"00431947"</f>
        <v>00431947</v>
      </c>
      <c r="H595">
        <v>57.6</v>
      </c>
      <c r="I595">
        <v>0</v>
      </c>
      <c r="M595">
        <v>0</v>
      </c>
      <c r="N595">
        <v>4</v>
      </c>
      <c r="O595">
        <v>2</v>
      </c>
      <c r="P595">
        <v>63.6</v>
      </c>
      <c r="Q595">
        <v>37</v>
      </c>
      <c r="R595">
        <v>37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37</v>
      </c>
      <c r="Z595">
        <v>0</v>
      </c>
      <c r="AA595">
        <v>0</v>
      </c>
      <c r="AC595">
        <v>100.6</v>
      </c>
    </row>
    <row r="596" spans="1:29">
      <c r="A596">
        <v>589</v>
      </c>
      <c r="B596">
        <v>355</v>
      </c>
      <c r="C596" t="s">
        <v>178</v>
      </c>
      <c r="D596" t="s">
        <v>336</v>
      </c>
      <c r="E596" t="s">
        <v>1460</v>
      </c>
      <c r="F596" t="s">
        <v>1461</v>
      </c>
      <c r="G596" t="str">
        <f>"00526480"</f>
        <v>00526480</v>
      </c>
      <c r="H596">
        <v>50.4</v>
      </c>
      <c r="I596">
        <v>10</v>
      </c>
      <c r="M596">
        <v>0</v>
      </c>
      <c r="N596">
        <v>4</v>
      </c>
      <c r="O596">
        <v>0</v>
      </c>
      <c r="P596">
        <v>64.400000000000006</v>
      </c>
      <c r="Q596">
        <v>33</v>
      </c>
      <c r="R596">
        <v>33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33</v>
      </c>
      <c r="Z596">
        <v>3</v>
      </c>
      <c r="AA596">
        <v>0</v>
      </c>
      <c r="AC596">
        <v>100.4</v>
      </c>
    </row>
    <row r="597" spans="1:29">
      <c r="A597">
        <v>590</v>
      </c>
      <c r="B597">
        <v>1878</v>
      </c>
      <c r="C597" t="s">
        <v>1462</v>
      </c>
      <c r="D597" t="s">
        <v>52</v>
      </c>
      <c r="E597" t="s">
        <v>18</v>
      </c>
      <c r="F597" t="s">
        <v>1463</v>
      </c>
      <c r="G597" t="str">
        <f>"00127246"</f>
        <v>00127246</v>
      </c>
      <c r="H597">
        <v>50.4</v>
      </c>
      <c r="I597">
        <v>0</v>
      </c>
      <c r="L597">
        <v>4</v>
      </c>
      <c r="M597">
        <v>4</v>
      </c>
      <c r="N597">
        <v>4</v>
      </c>
      <c r="O597">
        <v>2</v>
      </c>
      <c r="P597">
        <v>60.4</v>
      </c>
      <c r="Q597">
        <v>37</v>
      </c>
      <c r="R597">
        <v>37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37</v>
      </c>
      <c r="Z597">
        <v>3</v>
      </c>
      <c r="AA597">
        <v>0</v>
      </c>
      <c r="AC597">
        <v>100.4</v>
      </c>
    </row>
    <row r="598" spans="1:29">
      <c r="A598">
        <v>591</v>
      </c>
      <c r="B598">
        <v>4627</v>
      </c>
      <c r="C598" t="s">
        <v>1464</v>
      </c>
      <c r="D598" t="s">
        <v>1465</v>
      </c>
      <c r="E598" t="s">
        <v>745</v>
      </c>
      <c r="F598" t="s">
        <v>1466</v>
      </c>
      <c r="G598" t="str">
        <f>"00533324"</f>
        <v>00533324</v>
      </c>
      <c r="H598">
        <v>50.4</v>
      </c>
      <c r="I598">
        <v>10</v>
      </c>
      <c r="K598">
        <v>6</v>
      </c>
      <c r="M598">
        <v>6</v>
      </c>
      <c r="N598">
        <v>4</v>
      </c>
      <c r="O598">
        <v>2</v>
      </c>
      <c r="P598">
        <v>72.400000000000006</v>
      </c>
      <c r="Q598">
        <v>28</v>
      </c>
      <c r="R598">
        <v>28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28</v>
      </c>
      <c r="Z598">
        <v>0</v>
      </c>
      <c r="AA598">
        <v>0</v>
      </c>
      <c r="AC598">
        <v>100.4</v>
      </c>
    </row>
    <row r="599" spans="1:29">
      <c r="A599">
        <v>592</v>
      </c>
      <c r="B599">
        <v>1276</v>
      </c>
      <c r="C599" t="s">
        <v>1467</v>
      </c>
      <c r="D599" t="s">
        <v>784</v>
      </c>
      <c r="E599" t="s">
        <v>18</v>
      </c>
      <c r="F599" t="s">
        <v>1468</v>
      </c>
      <c r="G599" t="str">
        <f>"00531124"</f>
        <v>00531124</v>
      </c>
      <c r="H599">
        <v>50.4</v>
      </c>
      <c r="I599">
        <v>0</v>
      </c>
      <c r="K599">
        <v>6</v>
      </c>
      <c r="L599">
        <v>4</v>
      </c>
      <c r="M599">
        <v>10</v>
      </c>
      <c r="N599">
        <v>4</v>
      </c>
      <c r="O599">
        <v>0</v>
      </c>
      <c r="P599">
        <v>64.400000000000006</v>
      </c>
      <c r="Q599">
        <v>36</v>
      </c>
      <c r="R599">
        <v>36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36</v>
      </c>
      <c r="Z599">
        <v>0</v>
      </c>
      <c r="AA599">
        <v>0</v>
      </c>
      <c r="AC599">
        <v>100.4</v>
      </c>
    </row>
    <row r="600" spans="1:29">
      <c r="A600">
        <v>593</v>
      </c>
      <c r="B600">
        <v>4301</v>
      </c>
      <c r="C600" t="s">
        <v>1469</v>
      </c>
      <c r="D600" t="s">
        <v>95</v>
      </c>
      <c r="E600" t="s">
        <v>134</v>
      </c>
      <c r="F600" t="s">
        <v>1470</v>
      </c>
      <c r="G600" t="str">
        <f>"00161246"</f>
        <v>00161246</v>
      </c>
      <c r="H600">
        <v>7.2</v>
      </c>
      <c r="I600">
        <v>10</v>
      </c>
      <c r="M600">
        <v>0</v>
      </c>
      <c r="N600">
        <v>4</v>
      </c>
      <c r="O600">
        <v>0</v>
      </c>
      <c r="P600">
        <v>21.2</v>
      </c>
      <c r="Q600">
        <v>73</v>
      </c>
      <c r="R600">
        <v>73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73</v>
      </c>
      <c r="Z600">
        <v>6</v>
      </c>
      <c r="AA600">
        <v>0</v>
      </c>
      <c r="AC600">
        <v>100.2</v>
      </c>
    </row>
    <row r="601" spans="1:29">
      <c r="A601">
        <v>594</v>
      </c>
      <c r="B601">
        <v>2362</v>
      </c>
      <c r="C601" t="s">
        <v>1471</v>
      </c>
      <c r="D601" t="s">
        <v>27</v>
      </c>
      <c r="E601" t="s">
        <v>99</v>
      </c>
      <c r="F601" t="s">
        <v>1472</v>
      </c>
      <c r="G601" t="str">
        <f>"00161262"</f>
        <v>00161262</v>
      </c>
      <c r="H601">
        <v>43.2</v>
      </c>
      <c r="I601">
        <v>0</v>
      </c>
      <c r="M601">
        <v>0</v>
      </c>
      <c r="N601">
        <v>4</v>
      </c>
      <c r="O601">
        <v>0</v>
      </c>
      <c r="P601">
        <v>47.2</v>
      </c>
      <c r="Q601">
        <v>50</v>
      </c>
      <c r="R601">
        <v>50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50</v>
      </c>
      <c r="Z601">
        <v>3</v>
      </c>
      <c r="AA601">
        <v>0</v>
      </c>
      <c r="AC601">
        <v>100.2</v>
      </c>
    </row>
    <row r="602" spans="1:29">
      <c r="A602">
        <v>595</v>
      </c>
      <c r="B602">
        <v>1904</v>
      </c>
      <c r="C602" t="s">
        <v>1473</v>
      </c>
      <c r="D602" t="s">
        <v>1474</v>
      </c>
      <c r="E602" t="s">
        <v>233</v>
      </c>
      <c r="F602" t="s">
        <v>1475</v>
      </c>
      <c r="G602" t="str">
        <f>"201003000174"</f>
        <v>201003000174</v>
      </c>
      <c r="H602">
        <v>43.2</v>
      </c>
      <c r="I602">
        <v>10</v>
      </c>
      <c r="K602">
        <v>6</v>
      </c>
      <c r="M602">
        <v>6</v>
      </c>
      <c r="N602">
        <v>4</v>
      </c>
      <c r="O602">
        <v>2</v>
      </c>
      <c r="P602">
        <v>65.2</v>
      </c>
      <c r="Q602">
        <v>35</v>
      </c>
      <c r="R602">
        <v>35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35</v>
      </c>
      <c r="Z602">
        <v>0</v>
      </c>
      <c r="AA602">
        <v>0</v>
      </c>
      <c r="AC602">
        <v>100.2</v>
      </c>
    </row>
    <row r="603" spans="1:29">
      <c r="A603">
        <v>596</v>
      </c>
      <c r="B603">
        <v>741</v>
      </c>
      <c r="C603" t="s">
        <v>1476</v>
      </c>
      <c r="D603" t="s">
        <v>266</v>
      </c>
      <c r="E603" t="s">
        <v>1477</v>
      </c>
      <c r="F603" t="s">
        <v>1478</v>
      </c>
      <c r="G603" t="str">
        <f>"00508044"</f>
        <v>00508044</v>
      </c>
      <c r="H603">
        <v>43.2</v>
      </c>
      <c r="I603">
        <v>0</v>
      </c>
      <c r="J603">
        <v>8</v>
      </c>
      <c r="K603">
        <v>6</v>
      </c>
      <c r="M603">
        <v>14</v>
      </c>
      <c r="N603">
        <v>4</v>
      </c>
      <c r="O603">
        <v>2</v>
      </c>
      <c r="P603">
        <v>63.2</v>
      </c>
      <c r="Q603">
        <v>37</v>
      </c>
      <c r="R603">
        <v>37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37</v>
      </c>
      <c r="Z603">
        <v>0</v>
      </c>
      <c r="AA603">
        <v>0</v>
      </c>
      <c r="AC603">
        <v>100.2</v>
      </c>
    </row>
    <row r="604" spans="1:29">
      <c r="A604">
        <v>597</v>
      </c>
      <c r="B604">
        <v>2640</v>
      </c>
      <c r="C604" t="s">
        <v>163</v>
      </c>
      <c r="D604" t="s">
        <v>366</v>
      </c>
      <c r="E604" t="s">
        <v>15</v>
      </c>
      <c r="F604" t="s">
        <v>1479</v>
      </c>
      <c r="G604" t="str">
        <f>"00532107"</f>
        <v>00532107</v>
      </c>
      <c r="H604">
        <v>7.2</v>
      </c>
      <c r="I604">
        <v>0</v>
      </c>
      <c r="J604">
        <v>8</v>
      </c>
      <c r="M604">
        <v>8</v>
      </c>
      <c r="N604">
        <v>4</v>
      </c>
      <c r="O604">
        <v>2</v>
      </c>
      <c r="P604">
        <v>21.2</v>
      </c>
      <c r="Q604">
        <v>79</v>
      </c>
      <c r="R604">
        <v>79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79</v>
      </c>
      <c r="Z604">
        <v>0</v>
      </c>
      <c r="AA604">
        <v>0</v>
      </c>
      <c r="AC604">
        <v>100.2</v>
      </c>
    </row>
    <row r="605" spans="1:29">
      <c r="A605">
        <v>598</v>
      </c>
      <c r="B605">
        <v>491</v>
      </c>
      <c r="C605" t="s">
        <v>1480</v>
      </c>
      <c r="D605" t="s">
        <v>35</v>
      </c>
      <c r="E605" t="s">
        <v>1481</v>
      </c>
      <c r="F605" t="s">
        <v>1482</v>
      </c>
      <c r="G605" t="str">
        <f>"00502402"</f>
        <v>00502402</v>
      </c>
      <c r="H605">
        <v>39.119999999999997</v>
      </c>
      <c r="I605">
        <v>0</v>
      </c>
      <c r="M605">
        <v>0</v>
      </c>
      <c r="N605">
        <v>0</v>
      </c>
      <c r="O605">
        <v>2</v>
      </c>
      <c r="P605">
        <v>41.12</v>
      </c>
      <c r="Q605">
        <v>59</v>
      </c>
      <c r="R605">
        <v>59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59</v>
      </c>
      <c r="Z605">
        <v>0</v>
      </c>
      <c r="AA605">
        <v>0</v>
      </c>
      <c r="AC605">
        <v>100.12</v>
      </c>
    </row>
    <row r="606" spans="1:29">
      <c r="A606">
        <v>599</v>
      </c>
      <c r="B606">
        <v>539</v>
      </c>
      <c r="C606" t="s">
        <v>1483</v>
      </c>
      <c r="D606" t="s">
        <v>1484</v>
      </c>
      <c r="E606" t="s">
        <v>18</v>
      </c>
      <c r="F606" t="s">
        <v>1485</v>
      </c>
      <c r="G606" t="str">
        <f>"00531849"</f>
        <v>00531849</v>
      </c>
      <c r="H606">
        <v>40</v>
      </c>
      <c r="I606">
        <v>10</v>
      </c>
      <c r="M606">
        <v>0</v>
      </c>
      <c r="N606">
        <v>4</v>
      </c>
      <c r="O606">
        <v>2</v>
      </c>
      <c r="P606">
        <v>56</v>
      </c>
      <c r="Q606">
        <v>18</v>
      </c>
      <c r="R606">
        <v>18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18</v>
      </c>
      <c r="Z606">
        <v>6</v>
      </c>
      <c r="AA606">
        <v>20</v>
      </c>
      <c r="AC606">
        <v>100</v>
      </c>
    </row>
    <row r="607" spans="1:29">
      <c r="A607">
        <v>600</v>
      </c>
      <c r="B607">
        <v>168</v>
      </c>
      <c r="C607" t="s">
        <v>1282</v>
      </c>
      <c r="D607" t="s">
        <v>1138</v>
      </c>
      <c r="E607" t="s">
        <v>15</v>
      </c>
      <c r="F607" t="s">
        <v>1486</v>
      </c>
      <c r="G607" t="str">
        <f>"00485245"</f>
        <v>00485245</v>
      </c>
      <c r="H607">
        <v>72</v>
      </c>
      <c r="I607">
        <v>0</v>
      </c>
      <c r="J607">
        <v>8</v>
      </c>
      <c r="M607">
        <v>8</v>
      </c>
      <c r="N607">
        <v>4</v>
      </c>
      <c r="O607">
        <v>2</v>
      </c>
      <c r="P607">
        <v>86</v>
      </c>
      <c r="Q607">
        <v>8</v>
      </c>
      <c r="R607">
        <v>8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8</v>
      </c>
      <c r="Z607">
        <v>6</v>
      </c>
      <c r="AA607">
        <v>0</v>
      </c>
      <c r="AC607">
        <v>100</v>
      </c>
    </row>
    <row r="608" spans="1:29">
      <c r="A608">
        <v>601</v>
      </c>
      <c r="B608">
        <v>2611</v>
      </c>
      <c r="C608" t="s">
        <v>1248</v>
      </c>
      <c r="D608" t="s">
        <v>164</v>
      </c>
      <c r="E608" t="s">
        <v>156</v>
      </c>
      <c r="F608" t="s">
        <v>1487</v>
      </c>
      <c r="G608" t="str">
        <f>"00116850"</f>
        <v>00116850</v>
      </c>
      <c r="H608">
        <v>72</v>
      </c>
      <c r="I608">
        <v>0</v>
      </c>
      <c r="J608">
        <v>8</v>
      </c>
      <c r="K608">
        <v>6</v>
      </c>
      <c r="M608">
        <v>14</v>
      </c>
      <c r="N608">
        <v>4</v>
      </c>
      <c r="O608">
        <v>2</v>
      </c>
      <c r="P608">
        <v>92</v>
      </c>
      <c r="Q608">
        <v>8</v>
      </c>
      <c r="R608">
        <v>8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8</v>
      </c>
      <c r="Z608">
        <v>0</v>
      </c>
      <c r="AA608">
        <v>0</v>
      </c>
      <c r="AC608">
        <v>100</v>
      </c>
    </row>
    <row r="609" spans="1:29">
      <c r="A609">
        <v>602</v>
      </c>
      <c r="B609">
        <v>1303</v>
      </c>
      <c r="C609" t="s">
        <v>1488</v>
      </c>
      <c r="D609" t="s">
        <v>185</v>
      </c>
      <c r="E609" t="s">
        <v>18</v>
      </c>
      <c r="F609" t="s">
        <v>1489</v>
      </c>
      <c r="G609" t="str">
        <f>"00531471"</f>
        <v>00531471</v>
      </c>
      <c r="H609">
        <v>38.28</v>
      </c>
      <c r="I609">
        <v>10</v>
      </c>
      <c r="M609">
        <v>0</v>
      </c>
      <c r="N609">
        <v>0</v>
      </c>
      <c r="O609">
        <v>0</v>
      </c>
      <c r="P609">
        <v>48.28</v>
      </c>
      <c r="Q609">
        <v>8</v>
      </c>
      <c r="R609">
        <v>8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8</v>
      </c>
      <c r="Z609">
        <v>6</v>
      </c>
      <c r="AA609">
        <v>37.6</v>
      </c>
      <c r="AC609">
        <v>99.88</v>
      </c>
    </row>
    <row r="610" spans="1:29">
      <c r="A610">
        <v>603</v>
      </c>
      <c r="B610">
        <v>1353</v>
      </c>
      <c r="C610" t="s">
        <v>1490</v>
      </c>
      <c r="D610" t="s">
        <v>248</v>
      </c>
      <c r="E610" t="s">
        <v>99</v>
      </c>
      <c r="F610" t="s">
        <v>1491</v>
      </c>
      <c r="G610" t="str">
        <f>"200804000770"</f>
        <v>200804000770</v>
      </c>
      <c r="H610">
        <v>28.8</v>
      </c>
      <c r="I610">
        <v>10</v>
      </c>
      <c r="L610">
        <v>4</v>
      </c>
      <c r="M610">
        <v>4</v>
      </c>
      <c r="N610">
        <v>4</v>
      </c>
      <c r="O610">
        <v>2</v>
      </c>
      <c r="P610">
        <v>48.8</v>
      </c>
      <c r="Q610">
        <v>45</v>
      </c>
      <c r="R610">
        <v>45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45</v>
      </c>
      <c r="Z610">
        <v>6</v>
      </c>
      <c r="AA610">
        <v>0</v>
      </c>
      <c r="AC610">
        <v>99.8</v>
      </c>
    </row>
    <row r="611" spans="1:29">
      <c r="A611">
        <v>604</v>
      </c>
      <c r="B611">
        <v>868</v>
      </c>
      <c r="C611" t="s">
        <v>62</v>
      </c>
      <c r="D611" t="s">
        <v>52</v>
      </c>
      <c r="E611" t="s">
        <v>36</v>
      </c>
      <c r="F611" t="s">
        <v>1492</v>
      </c>
      <c r="G611" t="str">
        <f>"00507277"</f>
        <v>00507277</v>
      </c>
      <c r="H611">
        <v>64.8</v>
      </c>
      <c r="I611">
        <v>0</v>
      </c>
      <c r="J611">
        <v>8</v>
      </c>
      <c r="M611">
        <v>8</v>
      </c>
      <c r="N611">
        <v>4</v>
      </c>
      <c r="O611">
        <v>2</v>
      </c>
      <c r="P611">
        <v>78.8</v>
      </c>
      <c r="Q611">
        <v>18</v>
      </c>
      <c r="R611">
        <v>18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18</v>
      </c>
      <c r="Z611">
        <v>3</v>
      </c>
      <c r="AA611">
        <v>0</v>
      </c>
      <c r="AC611">
        <v>99.8</v>
      </c>
    </row>
    <row r="612" spans="1:29">
      <c r="A612">
        <v>605</v>
      </c>
      <c r="B612">
        <v>1406</v>
      </c>
      <c r="C612" t="s">
        <v>1425</v>
      </c>
      <c r="D612" t="s">
        <v>86</v>
      </c>
      <c r="E612" t="s">
        <v>36</v>
      </c>
      <c r="F612" t="s">
        <v>1493</v>
      </c>
      <c r="G612" t="str">
        <f>"00483568"</f>
        <v>00483568</v>
      </c>
      <c r="H612">
        <v>37.76</v>
      </c>
      <c r="I612">
        <v>10</v>
      </c>
      <c r="M612">
        <v>0</v>
      </c>
      <c r="N612">
        <v>4</v>
      </c>
      <c r="O612">
        <v>2</v>
      </c>
      <c r="P612">
        <v>53.76</v>
      </c>
      <c r="Q612">
        <v>40</v>
      </c>
      <c r="R612">
        <v>40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40</v>
      </c>
      <c r="Z612">
        <v>6</v>
      </c>
      <c r="AA612">
        <v>0</v>
      </c>
      <c r="AC612">
        <v>99.76</v>
      </c>
    </row>
    <row r="613" spans="1:29">
      <c r="A613">
        <v>606</v>
      </c>
      <c r="B613">
        <v>2435</v>
      </c>
      <c r="C613" t="s">
        <v>1494</v>
      </c>
      <c r="D613" t="s">
        <v>113</v>
      </c>
      <c r="E613" t="s">
        <v>18</v>
      </c>
      <c r="F613" t="s">
        <v>1495</v>
      </c>
      <c r="G613" t="str">
        <f>"00530748"</f>
        <v>00530748</v>
      </c>
      <c r="H613">
        <v>37.76</v>
      </c>
      <c r="I613">
        <v>0</v>
      </c>
      <c r="M613">
        <v>0</v>
      </c>
      <c r="N613">
        <v>4</v>
      </c>
      <c r="O613">
        <v>2</v>
      </c>
      <c r="P613">
        <v>43.76</v>
      </c>
      <c r="Q613">
        <v>53</v>
      </c>
      <c r="R613">
        <v>53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53</v>
      </c>
      <c r="Z613">
        <v>3</v>
      </c>
      <c r="AA613">
        <v>0</v>
      </c>
      <c r="AC613">
        <v>99.76</v>
      </c>
    </row>
    <row r="614" spans="1:29">
      <c r="A614">
        <v>607</v>
      </c>
      <c r="B614">
        <v>2149</v>
      </c>
      <c r="C614" t="s">
        <v>1496</v>
      </c>
      <c r="D614" t="s">
        <v>86</v>
      </c>
      <c r="E614" t="s">
        <v>79</v>
      </c>
      <c r="F614" t="s">
        <v>1497</v>
      </c>
      <c r="G614" t="str">
        <f>"00520462"</f>
        <v>00520462</v>
      </c>
      <c r="H614">
        <v>39.6</v>
      </c>
      <c r="I614">
        <v>0</v>
      </c>
      <c r="M614">
        <v>0</v>
      </c>
      <c r="N614">
        <v>0</v>
      </c>
      <c r="O614">
        <v>0</v>
      </c>
      <c r="P614">
        <v>39.6</v>
      </c>
      <c r="Q614">
        <v>60</v>
      </c>
      <c r="R614">
        <v>60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60</v>
      </c>
      <c r="Z614">
        <v>0</v>
      </c>
      <c r="AA614">
        <v>0</v>
      </c>
      <c r="AC614">
        <v>99.6</v>
      </c>
    </row>
    <row r="615" spans="1:29">
      <c r="A615">
        <v>608</v>
      </c>
      <c r="B615">
        <v>1317</v>
      </c>
      <c r="C615" t="s">
        <v>351</v>
      </c>
      <c r="D615" t="s">
        <v>27</v>
      </c>
      <c r="E615" t="s">
        <v>319</v>
      </c>
      <c r="F615" t="s">
        <v>1498</v>
      </c>
      <c r="G615" t="str">
        <f>"00530667"</f>
        <v>00530667</v>
      </c>
      <c r="H615">
        <v>25.6</v>
      </c>
      <c r="I615">
        <v>0</v>
      </c>
      <c r="J615">
        <v>8</v>
      </c>
      <c r="M615">
        <v>8</v>
      </c>
      <c r="N615">
        <v>4</v>
      </c>
      <c r="O615">
        <v>2</v>
      </c>
      <c r="P615">
        <v>39.6</v>
      </c>
      <c r="Q615">
        <v>60</v>
      </c>
      <c r="R615">
        <v>60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60</v>
      </c>
      <c r="Z615">
        <v>0</v>
      </c>
      <c r="AA615">
        <v>0</v>
      </c>
      <c r="AC615">
        <v>99.6</v>
      </c>
    </row>
    <row r="616" spans="1:29">
      <c r="A616">
        <v>609</v>
      </c>
      <c r="B616">
        <v>4119</v>
      </c>
      <c r="C616" t="s">
        <v>1499</v>
      </c>
      <c r="D616" t="s">
        <v>1500</v>
      </c>
      <c r="E616" t="s">
        <v>60</v>
      </c>
      <c r="F616" t="s">
        <v>1501</v>
      </c>
      <c r="G616" t="str">
        <f>"00529621"</f>
        <v>00529621</v>
      </c>
      <c r="H616">
        <v>14.4</v>
      </c>
      <c r="I616">
        <v>0</v>
      </c>
      <c r="L616">
        <v>8</v>
      </c>
      <c r="M616">
        <v>8</v>
      </c>
      <c r="N616">
        <v>4</v>
      </c>
      <c r="O616">
        <v>2</v>
      </c>
      <c r="P616">
        <v>28.4</v>
      </c>
      <c r="Q616">
        <v>71</v>
      </c>
      <c r="R616">
        <v>71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71</v>
      </c>
      <c r="Z616">
        <v>0</v>
      </c>
      <c r="AA616">
        <v>0</v>
      </c>
      <c r="AC616">
        <v>99.4</v>
      </c>
    </row>
    <row r="617" spans="1:29">
      <c r="A617">
        <v>610</v>
      </c>
      <c r="B617">
        <v>1105</v>
      </c>
      <c r="C617" t="s">
        <v>1502</v>
      </c>
      <c r="D617" t="s">
        <v>1503</v>
      </c>
      <c r="E617" t="s">
        <v>1504</v>
      </c>
      <c r="F617" t="s">
        <v>1505</v>
      </c>
      <c r="G617" t="str">
        <f>"00502038"</f>
        <v>00502038</v>
      </c>
      <c r="H617">
        <v>50.4</v>
      </c>
      <c r="I617">
        <v>0</v>
      </c>
      <c r="M617">
        <v>0</v>
      </c>
      <c r="N617">
        <v>4</v>
      </c>
      <c r="O617">
        <v>0</v>
      </c>
      <c r="P617">
        <v>54.4</v>
      </c>
      <c r="Q617">
        <v>18</v>
      </c>
      <c r="R617">
        <v>18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18</v>
      </c>
      <c r="Z617">
        <v>0</v>
      </c>
      <c r="AA617">
        <v>26.8</v>
      </c>
      <c r="AC617">
        <v>99.2</v>
      </c>
    </row>
    <row r="618" spans="1:29">
      <c r="A618">
        <v>611</v>
      </c>
      <c r="B618">
        <v>1138</v>
      </c>
      <c r="C618" t="s">
        <v>1506</v>
      </c>
      <c r="D618" t="s">
        <v>775</v>
      </c>
      <c r="E618" t="s">
        <v>18</v>
      </c>
      <c r="F618" t="s">
        <v>1507</v>
      </c>
      <c r="G618" t="str">
        <f>"201604001843"</f>
        <v>201604001843</v>
      </c>
      <c r="H618">
        <v>43.2</v>
      </c>
      <c r="I618">
        <v>10</v>
      </c>
      <c r="L618">
        <v>4</v>
      </c>
      <c r="M618">
        <v>4</v>
      </c>
      <c r="N618">
        <v>4</v>
      </c>
      <c r="O618">
        <v>2</v>
      </c>
      <c r="P618">
        <v>63.2</v>
      </c>
      <c r="Q618">
        <v>36</v>
      </c>
      <c r="R618">
        <v>36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36</v>
      </c>
      <c r="Z618">
        <v>0</v>
      </c>
      <c r="AA618">
        <v>0</v>
      </c>
      <c r="AC618">
        <v>99.2</v>
      </c>
    </row>
    <row r="619" spans="1:29">
      <c r="A619">
        <v>612</v>
      </c>
      <c r="B619">
        <v>3523</v>
      </c>
      <c r="C619" t="s">
        <v>1508</v>
      </c>
      <c r="D619" t="s">
        <v>1509</v>
      </c>
      <c r="E619" t="s">
        <v>777</v>
      </c>
      <c r="F619" t="s">
        <v>1510</v>
      </c>
      <c r="G619" t="str">
        <f>"200802005429"</f>
        <v>200802005429</v>
      </c>
      <c r="H619">
        <v>37.119999999999997</v>
      </c>
      <c r="I619">
        <v>0</v>
      </c>
      <c r="L619">
        <v>4</v>
      </c>
      <c r="M619">
        <v>4</v>
      </c>
      <c r="N619">
        <v>4</v>
      </c>
      <c r="O619">
        <v>2</v>
      </c>
      <c r="P619">
        <v>47.12</v>
      </c>
      <c r="Q619">
        <v>43</v>
      </c>
      <c r="R619">
        <v>43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43</v>
      </c>
      <c r="Z619">
        <v>9</v>
      </c>
      <c r="AA619">
        <v>0</v>
      </c>
      <c r="AC619">
        <v>99.12</v>
      </c>
    </row>
    <row r="620" spans="1:29">
      <c r="A620">
        <v>613</v>
      </c>
      <c r="B620">
        <v>2716</v>
      </c>
      <c r="C620" t="s">
        <v>1511</v>
      </c>
      <c r="D620" t="s">
        <v>108</v>
      </c>
      <c r="E620" t="s">
        <v>1512</v>
      </c>
      <c r="F620" t="s">
        <v>1513</v>
      </c>
      <c r="G620" t="str">
        <f>"00164081"</f>
        <v>00164081</v>
      </c>
      <c r="H620">
        <v>37</v>
      </c>
      <c r="I620">
        <v>0</v>
      </c>
      <c r="J620">
        <v>8</v>
      </c>
      <c r="M620">
        <v>8</v>
      </c>
      <c r="N620">
        <v>4</v>
      </c>
      <c r="O620">
        <v>2</v>
      </c>
      <c r="P620">
        <v>51</v>
      </c>
      <c r="Q620">
        <v>42</v>
      </c>
      <c r="R620">
        <v>42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42</v>
      </c>
      <c r="Z620">
        <v>6</v>
      </c>
      <c r="AA620">
        <v>0</v>
      </c>
      <c r="AC620">
        <v>99</v>
      </c>
    </row>
    <row r="621" spans="1:29">
      <c r="A621">
        <v>614</v>
      </c>
      <c r="B621">
        <v>2955</v>
      </c>
      <c r="C621" t="s">
        <v>1514</v>
      </c>
      <c r="D621" t="s">
        <v>52</v>
      </c>
      <c r="E621" t="s">
        <v>156</v>
      </c>
      <c r="F621" t="s">
        <v>1515</v>
      </c>
      <c r="G621" t="str">
        <f>"00486637"</f>
        <v>00486637</v>
      </c>
      <c r="H621">
        <v>28</v>
      </c>
      <c r="I621">
        <v>0</v>
      </c>
      <c r="M621">
        <v>0</v>
      </c>
      <c r="N621">
        <v>4</v>
      </c>
      <c r="O621">
        <v>2</v>
      </c>
      <c r="P621">
        <v>34</v>
      </c>
      <c r="Q621">
        <v>65</v>
      </c>
      <c r="R621">
        <v>65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65</v>
      </c>
      <c r="Z621">
        <v>0</v>
      </c>
      <c r="AA621">
        <v>0</v>
      </c>
      <c r="AC621">
        <v>99</v>
      </c>
    </row>
    <row r="622" spans="1:29">
      <c r="A622">
        <v>615</v>
      </c>
      <c r="B622">
        <v>791</v>
      </c>
      <c r="C622" t="s">
        <v>1516</v>
      </c>
      <c r="D622" t="s">
        <v>248</v>
      </c>
      <c r="E622" t="s">
        <v>89</v>
      </c>
      <c r="F622" t="s">
        <v>1517</v>
      </c>
      <c r="G622" t="str">
        <f>"00187255"</f>
        <v>00187255</v>
      </c>
      <c r="H622">
        <v>20.8</v>
      </c>
      <c r="I622">
        <v>0</v>
      </c>
      <c r="L622">
        <v>4</v>
      </c>
      <c r="M622">
        <v>4</v>
      </c>
      <c r="N622">
        <v>4</v>
      </c>
      <c r="O622">
        <v>2</v>
      </c>
      <c r="P622">
        <v>30.8</v>
      </c>
      <c r="Q622">
        <v>36</v>
      </c>
      <c r="R622">
        <v>36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36</v>
      </c>
      <c r="Z622">
        <v>0</v>
      </c>
      <c r="AA622">
        <v>32</v>
      </c>
      <c r="AC622">
        <v>98.8</v>
      </c>
    </row>
    <row r="623" spans="1:29">
      <c r="A623">
        <v>616</v>
      </c>
      <c r="B623">
        <v>2348</v>
      </c>
      <c r="C623" t="s">
        <v>1518</v>
      </c>
      <c r="D623" t="s">
        <v>557</v>
      </c>
      <c r="E623" t="s">
        <v>77</v>
      </c>
      <c r="F623" t="s">
        <v>1519</v>
      </c>
      <c r="G623" t="str">
        <f>"00147368"</f>
        <v>00147368</v>
      </c>
      <c r="H623">
        <v>64.8</v>
      </c>
      <c r="I623">
        <v>0</v>
      </c>
      <c r="L623">
        <v>4</v>
      </c>
      <c r="M623">
        <v>4</v>
      </c>
      <c r="N623">
        <v>4</v>
      </c>
      <c r="O623">
        <v>2</v>
      </c>
      <c r="P623">
        <v>74.8</v>
      </c>
      <c r="Q623">
        <v>18</v>
      </c>
      <c r="R623">
        <v>18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18</v>
      </c>
      <c r="Z623">
        <v>6</v>
      </c>
      <c r="AA623">
        <v>0</v>
      </c>
      <c r="AC623">
        <v>98.8</v>
      </c>
    </row>
    <row r="624" spans="1:29">
      <c r="A624">
        <v>617</v>
      </c>
      <c r="B624">
        <v>1714</v>
      </c>
      <c r="C624" t="s">
        <v>1520</v>
      </c>
      <c r="D624" t="s">
        <v>17</v>
      </c>
      <c r="E624" t="s">
        <v>18</v>
      </c>
      <c r="F624" t="s">
        <v>1521</v>
      </c>
      <c r="G624" t="str">
        <f>"201507001728"</f>
        <v>201507001728</v>
      </c>
      <c r="H624">
        <v>37.799999999999997</v>
      </c>
      <c r="I624">
        <v>0</v>
      </c>
      <c r="J624">
        <v>8</v>
      </c>
      <c r="M624">
        <v>8</v>
      </c>
      <c r="N624">
        <v>0</v>
      </c>
      <c r="O624">
        <v>0</v>
      </c>
      <c r="P624">
        <v>45.8</v>
      </c>
      <c r="Q624">
        <v>47</v>
      </c>
      <c r="R624">
        <v>47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47</v>
      </c>
      <c r="Z624">
        <v>6</v>
      </c>
      <c r="AA624">
        <v>0</v>
      </c>
      <c r="AC624">
        <v>98.8</v>
      </c>
    </row>
    <row r="625" spans="1:29">
      <c r="A625">
        <v>618</v>
      </c>
      <c r="B625">
        <v>4293</v>
      </c>
      <c r="C625" t="s">
        <v>1522</v>
      </c>
      <c r="D625" t="s">
        <v>159</v>
      </c>
      <c r="E625" t="s">
        <v>18</v>
      </c>
      <c r="F625" t="s">
        <v>1523</v>
      </c>
      <c r="G625" t="str">
        <f>"00519812"</f>
        <v>00519812</v>
      </c>
      <c r="H625">
        <v>38.799999999999997</v>
      </c>
      <c r="I625">
        <v>0</v>
      </c>
      <c r="M625">
        <v>0</v>
      </c>
      <c r="N625">
        <v>4</v>
      </c>
      <c r="O625">
        <v>0</v>
      </c>
      <c r="P625">
        <v>42.8</v>
      </c>
      <c r="Q625">
        <v>53</v>
      </c>
      <c r="R625">
        <v>53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53</v>
      </c>
      <c r="Z625">
        <v>3</v>
      </c>
      <c r="AA625">
        <v>0</v>
      </c>
      <c r="AC625">
        <v>98.8</v>
      </c>
    </row>
    <row r="626" spans="1:29">
      <c r="A626">
        <v>619</v>
      </c>
      <c r="B626">
        <v>2470</v>
      </c>
      <c r="C626" t="s">
        <v>1524</v>
      </c>
      <c r="D626" t="s">
        <v>1525</v>
      </c>
      <c r="E626" t="s">
        <v>647</v>
      </c>
      <c r="F626">
        <v>368997</v>
      </c>
      <c r="G626" t="str">
        <f>"00460113"</f>
        <v>00460113</v>
      </c>
      <c r="H626">
        <v>64.8</v>
      </c>
      <c r="I626">
        <v>10</v>
      </c>
      <c r="L626">
        <v>4</v>
      </c>
      <c r="M626">
        <v>4</v>
      </c>
      <c r="N626">
        <v>4</v>
      </c>
      <c r="O626">
        <v>2</v>
      </c>
      <c r="P626">
        <v>84.8</v>
      </c>
      <c r="Q626">
        <v>14</v>
      </c>
      <c r="R626">
        <v>14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14</v>
      </c>
      <c r="Z626">
        <v>0</v>
      </c>
      <c r="AA626">
        <v>0</v>
      </c>
      <c r="AC626">
        <v>98.8</v>
      </c>
    </row>
    <row r="627" spans="1:29">
      <c r="A627">
        <v>620</v>
      </c>
      <c r="B627">
        <v>1442</v>
      </c>
      <c r="C627" t="s">
        <v>1526</v>
      </c>
      <c r="D627" t="s">
        <v>15</v>
      </c>
      <c r="E627" t="s">
        <v>1527</v>
      </c>
      <c r="F627" t="s">
        <v>1528</v>
      </c>
      <c r="G627" t="str">
        <f>"00486077"</f>
        <v>00486077</v>
      </c>
      <c r="H627">
        <v>28.8</v>
      </c>
      <c r="I627">
        <v>0</v>
      </c>
      <c r="K627">
        <v>6</v>
      </c>
      <c r="M627">
        <v>6</v>
      </c>
      <c r="N627">
        <v>4</v>
      </c>
      <c r="O627">
        <v>2</v>
      </c>
      <c r="P627">
        <v>40.799999999999997</v>
      </c>
      <c r="Q627">
        <v>58</v>
      </c>
      <c r="R627">
        <v>58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58</v>
      </c>
      <c r="Z627">
        <v>0</v>
      </c>
      <c r="AA627">
        <v>0</v>
      </c>
      <c r="AC627">
        <v>98.8</v>
      </c>
    </row>
    <row r="628" spans="1:29">
      <c r="A628">
        <v>621</v>
      </c>
      <c r="B628">
        <v>1078</v>
      </c>
      <c r="C628" t="s">
        <v>1529</v>
      </c>
      <c r="D628" t="s">
        <v>175</v>
      </c>
      <c r="E628" t="s">
        <v>176</v>
      </c>
      <c r="F628" t="s">
        <v>1530</v>
      </c>
      <c r="G628" t="str">
        <f>"00232897"</f>
        <v>00232897</v>
      </c>
      <c r="H628">
        <v>57.6</v>
      </c>
      <c r="I628">
        <v>10</v>
      </c>
      <c r="L628">
        <v>4</v>
      </c>
      <c r="M628">
        <v>4</v>
      </c>
      <c r="N628">
        <v>4</v>
      </c>
      <c r="O628">
        <v>0</v>
      </c>
      <c r="P628">
        <v>75.599999999999994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3</v>
      </c>
      <c r="AA628">
        <v>20</v>
      </c>
      <c r="AC628">
        <v>98.6</v>
      </c>
    </row>
    <row r="629" spans="1:29">
      <c r="A629">
        <v>622</v>
      </c>
      <c r="B629">
        <v>603</v>
      </c>
      <c r="C629" t="s">
        <v>1531</v>
      </c>
      <c r="D629" t="s">
        <v>1532</v>
      </c>
      <c r="E629" t="s">
        <v>15</v>
      </c>
      <c r="F629" t="s">
        <v>1533</v>
      </c>
      <c r="G629" t="str">
        <f>"200910000184"</f>
        <v>200910000184</v>
      </c>
      <c r="H629">
        <v>57.6</v>
      </c>
      <c r="I629">
        <v>0</v>
      </c>
      <c r="J629">
        <v>8</v>
      </c>
      <c r="K629">
        <v>6</v>
      </c>
      <c r="M629">
        <v>14</v>
      </c>
      <c r="N629">
        <v>4</v>
      </c>
      <c r="O629">
        <v>2</v>
      </c>
      <c r="P629">
        <v>77.599999999999994</v>
      </c>
      <c r="Q629">
        <v>8</v>
      </c>
      <c r="R629">
        <v>8</v>
      </c>
      <c r="S629">
        <v>0</v>
      </c>
      <c r="T629">
        <v>0</v>
      </c>
      <c r="U629">
        <v>7</v>
      </c>
      <c r="V629">
        <v>10</v>
      </c>
      <c r="W629">
        <v>0</v>
      </c>
      <c r="X629">
        <v>0</v>
      </c>
      <c r="Y629">
        <v>18</v>
      </c>
      <c r="Z629">
        <v>3</v>
      </c>
      <c r="AA629">
        <v>0</v>
      </c>
      <c r="AC629">
        <v>98.6</v>
      </c>
    </row>
    <row r="630" spans="1:29">
      <c r="A630">
        <v>623</v>
      </c>
      <c r="B630">
        <v>4493</v>
      </c>
      <c r="C630" t="s">
        <v>1534</v>
      </c>
      <c r="D630" t="s">
        <v>27</v>
      </c>
      <c r="E630" t="s">
        <v>36</v>
      </c>
      <c r="F630" t="s">
        <v>1535</v>
      </c>
      <c r="G630" t="str">
        <f>"00499783"</f>
        <v>00499783</v>
      </c>
      <c r="H630">
        <v>57.6</v>
      </c>
      <c r="I630">
        <v>0</v>
      </c>
      <c r="M630">
        <v>0</v>
      </c>
      <c r="N630">
        <v>4</v>
      </c>
      <c r="O630">
        <v>0</v>
      </c>
      <c r="P630">
        <v>61.6</v>
      </c>
      <c r="Q630">
        <v>34</v>
      </c>
      <c r="R630">
        <v>34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34</v>
      </c>
      <c r="Z630">
        <v>3</v>
      </c>
      <c r="AA630">
        <v>0</v>
      </c>
      <c r="AC630">
        <v>98.6</v>
      </c>
    </row>
    <row r="631" spans="1:29">
      <c r="A631">
        <v>624</v>
      </c>
      <c r="B631">
        <v>2522</v>
      </c>
      <c r="C631" t="s">
        <v>1536</v>
      </c>
      <c r="D631" t="s">
        <v>39</v>
      </c>
      <c r="E631" t="s">
        <v>79</v>
      </c>
      <c r="F631" t="s">
        <v>1537</v>
      </c>
      <c r="G631" t="str">
        <f>"00518826"</f>
        <v>00518826</v>
      </c>
      <c r="H631">
        <v>21.6</v>
      </c>
      <c r="I631">
        <v>0</v>
      </c>
      <c r="J631">
        <v>8</v>
      </c>
      <c r="M631">
        <v>8</v>
      </c>
      <c r="N631">
        <v>4</v>
      </c>
      <c r="O631">
        <v>2</v>
      </c>
      <c r="P631">
        <v>35.6</v>
      </c>
      <c r="Q631">
        <v>60</v>
      </c>
      <c r="R631">
        <v>60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60</v>
      </c>
      <c r="Z631">
        <v>3</v>
      </c>
      <c r="AA631">
        <v>0</v>
      </c>
      <c r="AC631">
        <v>98.6</v>
      </c>
    </row>
    <row r="632" spans="1:29">
      <c r="A632">
        <v>625</v>
      </c>
      <c r="B632">
        <v>3729</v>
      </c>
      <c r="C632" t="s">
        <v>218</v>
      </c>
      <c r="D632" t="s">
        <v>98</v>
      </c>
      <c r="E632" t="s">
        <v>115</v>
      </c>
      <c r="F632" t="s">
        <v>1538</v>
      </c>
      <c r="G632" t="str">
        <f>"00158462"</f>
        <v>00158462</v>
      </c>
      <c r="H632">
        <v>30.56</v>
      </c>
      <c r="I632">
        <v>0</v>
      </c>
      <c r="L632">
        <v>4</v>
      </c>
      <c r="M632">
        <v>4</v>
      </c>
      <c r="N632">
        <v>4</v>
      </c>
      <c r="O632">
        <v>2</v>
      </c>
      <c r="P632">
        <v>40.56</v>
      </c>
      <c r="Q632">
        <v>55</v>
      </c>
      <c r="R632">
        <v>55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55</v>
      </c>
      <c r="Z632">
        <v>3</v>
      </c>
      <c r="AA632">
        <v>0</v>
      </c>
      <c r="AC632">
        <v>98.56</v>
      </c>
    </row>
    <row r="633" spans="1:29">
      <c r="A633">
        <v>626</v>
      </c>
      <c r="B633">
        <v>3656</v>
      </c>
      <c r="C633" t="s">
        <v>1539</v>
      </c>
      <c r="D633" t="s">
        <v>258</v>
      </c>
      <c r="E633" t="s">
        <v>1540</v>
      </c>
      <c r="F633" t="s">
        <v>1541</v>
      </c>
      <c r="G633" t="str">
        <f>"00485995"</f>
        <v>00485995</v>
      </c>
      <c r="H633">
        <v>39.56</v>
      </c>
      <c r="I633">
        <v>0</v>
      </c>
      <c r="M633">
        <v>0</v>
      </c>
      <c r="N633">
        <v>4</v>
      </c>
      <c r="O633">
        <v>0</v>
      </c>
      <c r="P633">
        <v>43.56</v>
      </c>
      <c r="Q633">
        <v>55</v>
      </c>
      <c r="R633">
        <v>55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55</v>
      </c>
      <c r="Z633">
        <v>0</v>
      </c>
      <c r="AA633">
        <v>0</v>
      </c>
      <c r="AC633">
        <v>98.56</v>
      </c>
    </row>
    <row r="634" spans="1:29">
      <c r="A634">
        <v>627</v>
      </c>
      <c r="B634">
        <v>3882</v>
      </c>
      <c r="C634" t="s">
        <v>1542</v>
      </c>
      <c r="D634" t="s">
        <v>1543</v>
      </c>
      <c r="E634" t="s">
        <v>134</v>
      </c>
      <c r="F634" t="s">
        <v>1544</v>
      </c>
      <c r="G634" t="str">
        <f>"00529989"</f>
        <v>00529989</v>
      </c>
      <c r="H634">
        <v>37.44</v>
      </c>
      <c r="I634">
        <v>0</v>
      </c>
      <c r="M634">
        <v>0</v>
      </c>
      <c r="N634">
        <v>0</v>
      </c>
      <c r="O634">
        <v>0</v>
      </c>
      <c r="P634">
        <v>37.44</v>
      </c>
      <c r="Q634">
        <v>55</v>
      </c>
      <c r="R634">
        <v>55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55</v>
      </c>
      <c r="Z634">
        <v>6</v>
      </c>
      <c r="AA634">
        <v>0</v>
      </c>
      <c r="AC634">
        <v>98.44</v>
      </c>
    </row>
    <row r="635" spans="1:29">
      <c r="A635">
        <v>628</v>
      </c>
      <c r="B635">
        <v>813</v>
      </c>
      <c r="C635" t="s">
        <v>1545</v>
      </c>
      <c r="D635" t="s">
        <v>147</v>
      </c>
      <c r="E635" t="s">
        <v>60</v>
      </c>
      <c r="F635" t="s">
        <v>1546</v>
      </c>
      <c r="G635" t="str">
        <f>"00531008"</f>
        <v>00531008</v>
      </c>
      <c r="H635">
        <v>50.4</v>
      </c>
      <c r="I635">
        <v>0</v>
      </c>
      <c r="L635">
        <v>4</v>
      </c>
      <c r="M635">
        <v>4</v>
      </c>
      <c r="N635">
        <v>4</v>
      </c>
      <c r="O635">
        <v>2</v>
      </c>
      <c r="P635">
        <v>60.4</v>
      </c>
      <c r="Q635">
        <v>18</v>
      </c>
      <c r="R635">
        <v>18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18</v>
      </c>
      <c r="Z635">
        <v>0</v>
      </c>
      <c r="AA635">
        <v>20</v>
      </c>
      <c r="AC635">
        <v>98.4</v>
      </c>
    </row>
    <row r="636" spans="1:29">
      <c r="A636">
        <v>629</v>
      </c>
      <c r="B636">
        <v>79</v>
      </c>
      <c r="C636" t="s">
        <v>1547</v>
      </c>
      <c r="D636" t="s">
        <v>1548</v>
      </c>
      <c r="E636" t="s">
        <v>28</v>
      </c>
      <c r="F636" t="s">
        <v>1549</v>
      </c>
      <c r="G636" t="str">
        <f>"00480747"</f>
        <v>00480747</v>
      </c>
      <c r="H636">
        <v>50.4</v>
      </c>
      <c r="I636">
        <v>0</v>
      </c>
      <c r="M636">
        <v>0</v>
      </c>
      <c r="N636">
        <v>0</v>
      </c>
      <c r="O636">
        <v>2</v>
      </c>
      <c r="P636">
        <v>52.4</v>
      </c>
      <c r="Q636">
        <v>37</v>
      </c>
      <c r="R636">
        <v>37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37</v>
      </c>
      <c r="Z636">
        <v>9</v>
      </c>
      <c r="AA636">
        <v>0</v>
      </c>
      <c r="AC636">
        <v>98.4</v>
      </c>
    </row>
    <row r="637" spans="1:29">
      <c r="A637">
        <v>630</v>
      </c>
      <c r="B637">
        <v>3294</v>
      </c>
      <c r="C637" t="s">
        <v>1550</v>
      </c>
      <c r="D637" t="s">
        <v>35</v>
      </c>
      <c r="E637" t="s">
        <v>337</v>
      </c>
      <c r="F637" t="s">
        <v>1551</v>
      </c>
      <c r="G637" t="str">
        <f>"00155759"</f>
        <v>00155759</v>
      </c>
      <c r="H637">
        <v>30.4</v>
      </c>
      <c r="I637">
        <v>0</v>
      </c>
      <c r="M637">
        <v>0</v>
      </c>
      <c r="N637">
        <v>4</v>
      </c>
      <c r="O637">
        <v>2</v>
      </c>
      <c r="P637">
        <v>36.4</v>
      </c>
      <c r="Q637">
        <v>59</v>
      </c>
      <c r="R637">
        <v>59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59</v>
      </c>
      <c r="Z637">
        <v>3</v>
      </c>
      <c r="AA637">
        <v>0</v>
      </c>
      <c r="AC637">
        <v>98.4</v>
      </c>
    </row>
    <row r="638" spans="1:29">
      <c r="A638">
        <v>631</v>
      </c>
      <c r="B638">
        <v>3640</v>
      </c>
      <c r="C638" t="s">
        <v>1552</v>
      </c>
      <c r="D638" t="s">
        <v>118</v>
      </c>
      <c r="E638" t="s">
        <v>18</v>
      </c>
      <c r="F638" t="s">
        <v>1553</v>
      </c>
      <c r="G638" t="str">
        <f>"201511043329"</f>
        <v>201511043329</v>
      </c>
      <c r="H638">
        <v>50.4</v>
      </c>
      <c r="I638">
        <v>10</v>
      </c>
      <c r="L638">
        <v>4</v>
      </c>
      <c r="M638">
        <v>4</v>
      </c>
      <c r="N638">
        <v>4</v>
      </c>
      <c r="O638">
        <v>2</v>
      </c>
      <c r="P638">
        <v>70.400000000000006</v>
      </c>
      <c r="Q638">
        <v>28</v>
      </c>
      <c r="R638">
        <v>28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28</v>
      </c>
      <c r="Z638">
        <v>0</v>
      </c>
      <c r="AA638">
        <v>0</v>
      </c>
      <c r="AC638">
        <v>98.4</v>
      </c>
    </row>
    <row r="639" spans="1:29">
      <c r="A639">
        <v>632</v>
      </c>
      <c r="B639">
        <v>1822</v>
      </c>
      <c r="C639" t="s">
        <v>1554</v>
      </c>
      <c r="D639" t="s">
        <v>473</v>
      </c>
      <c r="E639" t="s">
        <v>79</v>
      </c>
      <c r="F639" t="s">
        <v>1555</v>
      </c>
      <c r="G639" t="str">
        <f>"00503873"</f>
        <v>00503873</v>
      </c>
      <c r="H639">
        <v>50.4</v>
      </c>
      <c r="I639">
        <v>0</v>
      </c>
      <c r="L639">
        <v>4</v>
      </c>
      <c r="M639">
        <v>4</v>
      </c>
      <c r="N639">
        <v>4</v>
      </c>
      <c r="O639">
        <v>2</v>
      </c>
      <c r="P639">
        <v>60.4</v>
      </c>
      <c r="Q639">
        <v>38</v>
      </c>
      <c r="R639">
        <v>38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38</v>
      </c>
      <c r="Z639">
        <v>0</v>
      </c>
      <c r="AA639">
        <v>0</v>
      </c>
      <c r="AC639">
        <v>98.4</v>
      </c>
    </row>
    <row r="640" spans="1:29">
      <c r="A640">
        <v>633</v>
      </c>
      <c r="B640">
        <v>602</v>
      </c>
      <c r="C640" t="s">
        <v>1556</v>
      </c>
      <c r="D640" t="s">
        <v>27</v>
      </c>
      <c r="E640" t="s">
        <v>36</v>
      </c>
      <c r="F640" t="s">
        <v>1557</v>
      </c>
      <c r="G640" t="str">
        <f>"201512005090"</f>
        <v>201512005090</v>
      </c>
      <c r="H640">
        <v>43.2</v>
      </c>
      <c r="I640">
        <v>0</v>
      </c>
      <c r="L640">
        <v>4</v>
      </c>
      <c r="M640">
        <v>4</v>
      </c>
      <c r="N640">
        <v>4</v>
      </c>
      <c r="O640">
        <v>2</v>
      </c>
      <c r="P640">
        <v>53.2</v>
      </c>
      <c r="Q640">
        <v>39</v>
      </c>
      <c r="R640">
        <v>39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39</v>
      </c>
      <c r="Z640">
        <v>6</v>
      </c>
      <c r="AA640">
        <v>0</v>
      </c>
      <c r="AB640" t="s">
        <v>128</v>
      </c>
      <c r="AC640">
        <v>98.2</v>
      </c>
    </row>
    <row r="641" spans="1:29">
      <c r="A641">
        <v>634</v>
      </c>
      <c r="B641">
        <v>4145</v>
      </c>
      <c r="C641" t="s">
        <v>1558</v>
      </c>
      <c r="D641" t="s">
        <v>98</v>
      </c>
      <c r="E641" t="s">
        <v>89</v>
      </c>
      <c r="F641" t="s">
        <v>1559</v>
      </c>
      <c r="G641" t="str">
        <f>"00533073"</f>
        <v>00533073</v>
      </c>
      <c r="H641">
        <v>7.2</v>
      </c>
      <c r="I641">
        <v>0</v>
      </c>
      <c r="L641">
        <v>4</v>
      </c>
      <c r="M641">
        <v>4</v>
      </c>
      <c r="N641">
        <v>4</v>
      </c>
      <c r="O641">
        <v>0</v>
      </c>
      <c r="P641">
        <v>15.2</v>
      </c>
      <c r="Q641">
        <v>77</v>
      </c>
      <c r="R641">
        <v>77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77</v>
      </c>
      <c r="Z641">
        <v>6</v>
      </c>
      <c r="AA641">
        <v>0</v>
      </c>
      <c r="AC641">
        <v>98.2</v>
      </c>
    </row>
    <row r="642" spans="1:29">
      <c r="A642">
        <v>635</v>
      </c>
      <c r="B642">
        <v>1560</v>
      </c>
      <c r="C642" t="s">
        <v>1560</v>
      </c>
      <c r="D642" t="s">
        <v>95</v>
      </c>
      <c r="E642" t="s">
        <v>18</v>
      </c>
      <c r="F642" t="s">
        <v>1561</v>
      </c>
      <c r="G642" t="str">
        <f>"00480734"</f>
        <v>00480734</v>
      </c>
      <c r="H642">
        <v>43.2</v>
      </c>
      <c r="I642">
        <v>0</v>
      </c>
      <c r="J642">
        <v>8</v>
      </c>
      <c r="K642">
        <v>6</v>
      </c>
      <c r="M642">
        <v>14</v>
      </c>
      <c r="N642">
        <v>0</v>
      </c>
      <c r="O642">
        <v>2</v>
      </c>
      <c r="P642">
        <v>59.2</v>
      </c>
      <c r="Q642">
        <v>36</v>
      </c>
      <c r="R642">
        <v>36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36</v>
      </c>
      <c r="Z642">
        <v>3</v>
      </c>
      <c r="AA642">
        <v>0</v>
      </c>
      <c r="AC642">
        <v>98.2</v>
      </c>
    </row>
    <row r="643" spans="1:29">
      <c r="A643">
        <v>636</v>
      </c>
      <c r="B643">
        <v>178</v>
      </c>
      <c r="C643" t="s">
        <v>1562</v>
      </c>
      <c r="D643" t="s">
        <v>17</v>
      </c>
      <c r="E643" t="s">
        <v>28</v>
      </c>
      <c r="F643" t="s">
        <v>1563</v>
      </c>
      <c r="G643" t="str">
        <f>"00485521"</f>
        <v>00485521</v>
      </c>
      <c r="H643">
        <v>39.200000000000003</v>
      </c>
      <c r="I643">
        <v>10</v>
      </c>
      <c r="J643">
        <v>8</v>
      </c>
      <c r="M643">
        <v>8</v>
      </c>
      <c r="N643">
        <v>4</v>
      </c>
      <c r="O643">
        <v>2</v>
      </c>
      <c r="P643">
        <v>63.2</v>
      </c>
      <c r="Q643">
        <v>35</v>
      </c>
      <c r="R643">
        <v>35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35</v>
      </c>
      <c r="Z643">
        <v>0</v>
      </c>
      <c r="AA643">
        <v>0</v>
      </c>
      <c r="AC643">
        <v>98.2</v>
      </c>
    </row>
    <row r="644" spans="1:29">
      <c r="A644">
        <v>637</v>
      </c>
      <c r="B644">
        <v>4791</v>
      </c>
      <c r="C644" t="s">
        <v>1564</v>
      </c>
      <c r="D644" t="s">
        <v>20</v>
      </c>
      <c r="E644" t="s">
        <v>1074</v>
      </c>
      <c r="F644" t="s">
        <v>1565</v>
      </c>
      <c r="G644" t="str">
        <f>"00442453"</f>
        <v>00442453</v>
      </c>
      <c r="H644">
        <v>36</v>
      </c>
      <c r="I644">
        <v>0</v>
      </c>
      <c r="M644">
        <v>0</v>
      </c>
      <c r="N644">
        <v>4</v>
      </c>
      <c r="O644">
        <v>2</v>
      </c>
      <c r="P644">
        <v>42</v>
      </c>
      <c r="Q644">
        <v>53</v>
      </c>
      <c r="R644">
        <v>53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53</v>
      </c>
      <c r="Z644">
        <v>3</v>
      </c>
      <c r="AA644">
        <v>0</v>
      </c>
      <c r="AC644">
        <v>98</v>
      </c>
    </row>
    <row r="645" spans="1:29">
      <c r="A645">
        <v>638</v>
      </c>
      <c r="B645">
        <v>740</v>
      </c>
      <c r="C645" t="s">
        <v>1566</v>
      </c>
      <c r="D645" t="s">
        <v>1150</v>
      </c>
      <c r="E645" t="s">
        <v>1567</v>
      </c>
      <c r="F645" t="s">
        <v>1568</v>
      </c>
      <c r="G645" t="str">
        <f>"201208000139"</f>
        <v>201208000139</v>
      </c>
      <c r="H645">
        <v>64.8</v>
      </c>
      <c r="I645">
        <v>0</v>
      </c>
      <c r="K645">
        <v>6</v>
      </c>
      <c r="M645">
        <v>6</v>
      </c>
      <c r="N645">
        <v>4</v>
      </c>
      <c r="O645">
        <v>2</v>
      </c>
      <c r="P645">
        <v>76.8</v>
      </c>
      <c r="Q645">
        <v>18</v>
      </c>
      <c r="R645">
        <v>18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18</v>
      </c>
      <c r="Z645">
        <v>3</v>
      </c>
      <c r="AA645">
        <v>0</v>
      </c>
      <c r="AC645">
        <v>97.8</v>
      </c>
    </row>
    <row r="646" spans="1:29">
      <c r="A646">
        <v>639</v>
      </c>
      <c r="B646">
        <v>567</v>
      </c>
      <c r="C646" t="s">
        <v>1569</v>
      </c>
      <c r="D646" t="s">
        <v>394</v>
      </c>
      <c r="E646" t="s">
        <v>66</v>
      </c>
      <c r="F646" t="s">
        <v>1570</v>
      </c>
      <c r="G646" t="str">
        <f>"00298268"</f>
        <v>00298268</v>
      </c>
      <c r="H646">
        <v>28.8</v>
      </c>
      <c r="I646">
        <v>10</v>
      </c>
      <c r="J646">
        <v>8</v>
      </c>
      <c r="L646">
        <v>4</v>
      </c>
      <c r="M646">
        <v>12</v>
      </c>
      <c r="N646">
        <v>4</v>
      </c>
      <c r="O646">
        <v>2</v>
      </c>
      <c r="P646">
        <v>56.8</v>
      </c>
      <c r="Q646">
        <v>25</v>
      </c>
      <c r="R646">
        <v>25</v>
      </c>
      <c r="S646">
        <v>8</v>
      </c>
      <c r="T646">
        <v>16</v>
      </c>
      <c r="U646">
        <v>0</v>
      </c>
      <c r="V646">
        <v>0</v>
      </c>
      <c r="W646">
        <v>0</v>
      </c>
      <c r="X646">
        <v>0</v>
      </c>
      <c r="Y646">
        <v>41</v>
      </c>
      <c r="Z646">
        <v>0</v>
      </c>
      <c r="AA646">
        <v>0</v>
      </c>
      <c r="AC646">
        <v>97.8</v>
      </c>
    </row>
    <row r="647" spans="1:29">
      <c r="A647">
        <v>640</v>
      </c>
      <c r="B647">
        <v>441</v>
      </c>
      <c r="C647" t="s">
        <v>1571</v>
      </c>
      <c r="D647" t="s">
        <v>108</v>
      </c>
      <c r="E647" t="s">
        <v>1119</v>
      </c>
      <c r="F647" t="s">
        <v>1572</v>
      </c>
      <c r="G647" t="str">
        <f>"00163611"</f>
        <v>00163611</v>
      </c>
      <c r="H647">
        <v>25.8</v>
      </c>
      <c r="I647">
        <v>10</v>
      </c>
      <c r="M647">
        <v>0</v>
      </c>
      <c r="N647">
        <v>0</v>
      </c>
      <c r="O647">
        <v>0</v>
      </c>
      <c r="P647">
        <v>35.799999999999997</v>
      </c>
      <c r="Q647">
        <v>62</v>
      </c>
      <c r="R647">
        <v>62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62</v>
      </c>
      <c r="Z647">
        <v>0</v>
      </c>
      <c r="AA647">
        <v>0</v>
      </c>
      <c r="AC647">
        <v>97.8</v>
      </c>
    </row>
    <row r="648" spans="1:29">
      <c r="A648">
        <v>641</v>
      </c>
      <c r="B648">
        <v>4684</v>
      </c>
      <c r="C648" t="s">
        <v>1284</v>
      </c>
      <c r="D648" t="s">
        <v>279</v>
      </c>
      <c r="E648" t="s">
        <v>79</v>
      </c>
      <c r="F648" t="s">
        <v>1573</v>
      </c>
      <c r="G648" t="str">
        <f>"00533720"</f>
        <v>00533720</v>
      </c>
      <c r="H648">
        <v>28.8</v>
      </c>
      <c r="I648">
        <v>10</v>
      </c>
      <c r="L648">
        <v>4</v>
      </c>
      <c r="M648">
        <v>4</v>
      </c>
      <c r="N648">
        <v>4</v>
      </c>
      <c r="O648">
        <v>2</v>
      </c>
      <c r="P648">
        <v>48.8</v>
      </c>
      <c r="Q648">
        <v>16</v>
      </c>
      <c r="R648">
        <v>16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16</v>
      </c>
      <c r="Z648">
        <v>6</v>
      </c>
      <c r="AA648">
        <v>26.8</v>
      </c>
      <c r="AC648">
        <v>97.6</v>
      </c>
    </row>
    <row r="649" spans="1:29">
      <c r="A649">
        <v>642</v>
      </c>
      <c r="B649">
        <v>453</v>
      </c>
      <c r="C649" t="s">
        <v>1574</v>
      </c>
      <c r="D649" t="s">
        <v>27</v>
      </c>
      <c r="E649" t="s">
        <v>18</v>
      </c>
      <c r="F649" t="s">
        <v>1575</v>
      </c>
      <c r="G649" t="str">
        <f>"00528642"</f>
        <v>00528642</v>
      </c>
      <c r="H649">
        <v>57.6</v>
      </c>
      <c r="I649">
        <v>10</v>
      </c>
      <c r="M649">
        <v>0</v>
      </c>
      <c r="N649">
        <v>4</v>
      </c>
      <c r="O649">
        <v>2</v>
      </c>
      <c r="P649">
        <v>73.599999999999994</v>
      </c>
      <c r="Q649">
        <v>18</v>
      </c>
      <c r="R649">
        <v>18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18</v>
      </c>
      <c r="Z649">
        <v>6</v>
      </c>
      <c r="AA649">
        <v>0</v>
      </c>
      <c r="AC649">
        <v>97.6</v>
      </c>
    </row>
    <row r="650" spans="1:29">
      <c r="A650">
        <v>643</v>
      </c>
      <c r="B650">
        <v>415</v>
      </c>
      <c r="C650" t="s">
        <v>1576</v>
      </c>
      <c r="D650" t="s">
        <v>1577</v>
      </c>
      <c r="E650" t="s">
        <v>237</v>
      </c>
      <c r="F650" t="s">
        <v>1578</v>
      </c>
      <c r="G650" t="str">
        <f>"201412005303"</f>
        <v>201412005303</v>
      </c>
      <c r="H650">
        <v>57.6</v>
      </c>
      <c r="I650">
        <v>0</v>
      </c>
      <c r="J650">
        <v>16</v>
      </c>
      <c r="M650">
        <v>16</v>
      </c>
      <c r="N650">
        <v>4</v>
      </c>
      <c r="O650">
        <v>2</v>
      </c>
      <c r="P650">
        <v>79.599999999999994</v>
      </c>
      <c r="Q650">
        <v>18</v>
      </c>
      <c r="R650">
        <v>18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18</v>
      </c>
      <c r="Z650">
        <v>0</v>
      </c>
      <c r="AA650">
        <v>0</v>
      </c>
      <c r="AC650">
        <v>97.6</v>
      </c>
    </row>
    <row r="651" spans="1:29">
      <c r="A651">
        <v>644</v>
      </c>
      <c r="B651">
        <v>4456</v>
      </c>
      <c r="C651" t="s">
        <v>1579</v>
      </c>
      <c r="D651" t="s">
        <v>159</v>
      </c>
      <c r="E651" t="s">
        <v>319</v>
      </c>
      <c r="F651" t="s">
        <v>1580</v>
      </c>
      <c r="G651" t="str">
        <f>"00163717"</f>
        <v>00163717</v>
      </c>
      <c r="H651">
        <v>57.6</v>
      </c>
      <c r="I651">
        <v>10</v>
      </c>
      <c r="M651">
        <v>0</v>
      </c>
      <c r="N651">
        <v>0</v>
      </c>
      <c r="O651">
        <v>2</v>
      </c>
      <c r="P651">
        <v>69.599999999999994</v>
      </c>
      <c r="Q651">
        <v>28</v>
      </c>
      <c r="R651">
        <v>28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28</v>
      </c>
      <c r="Z651">
        <v>0</v>
      </c>
      <c r="AA651">
        <v>0</v>
      </c>
      <c r="AC651">
        <v>97.6</v>
      </c>
    </row>
    <row r="652" spans="1:29">
      <c r="A652">
        <v>645</v>
      </c>
      <c r="B652">
        <v>3755</v>
      </c>
      <c r="C652" t="s">
        <v>1581</v>
      </c>
      <c r="D652" t="s">
        <v>69</v>
      </c>
      <c r="E652" t="s">
        <v>1582</v>
      </c>
      <c r="F652" t="s">
        <v>1583</v>
      </c>
      <c r="G652" t="str">
        <f>"00533300"</f>
        <v>00533300</v>
      </c>
      <c r="H652">
        <v>21.6</v>
      </c>
      <c r="I652">
        <v>0</v>
      </c>
      <c r="J652">
        <v>8</v>
      </c>
      <c r="M652">
        <v>8</v>
      </c>
      <c r="N652">
        <v>4</v>
      </c>
      <c r="O652">
        <v>2</v>
      </c>
      <c r="P652">
        <v>35.6</v>
      </c>
      <c r="Q652">
        <v>62</v>
      </c>
      <c r="R652">
        <v>62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62</v>
      </c>
      <c r="Z652">
        <v>0</v>
      </c>
      <c r="AA652">
        <v>0</v>
      </c>
      <c r="AC652">
        <v>97.6</v>
      </c>
    </row>
    <row r="653" spans="1:29">
      <c r="A653">
        <v>646</v>
      </c>
      <c r="B653">
        <v>1725</v>
      </c>
      <c r="C653" t="s">
        <v>1584</v>
      </c>
      <c r="D653" t="s">
        <v>544</v>
      </c>
      <c r="E653" t="s">
        <v>187</v>
      </c>
      <c r="F653" t="s">
        <v>1585</v>
      </c>
      <c r="G653" t="str">
        <f>"00531263"</f>
        <v>00531263</v>
      </c>
      <c r="H653">
        <v>21.6</v>
      </c>
      <c r="I653">
        <v>0</v>
      </c>
      <c r="L653">
        <v>4</v>
      </c>
      <c r="M653">
        <v>4</v>
      </c>
      <c r="N653">
        <v>4</v>
      </c>
      <c r="O653">
        <v>2</v>
      </c>
      <c r="P653">
        <v>31.6</v>
      </c>
      <c r="Q653">
        <v>66</v>
      </c>
      <c r="R653">
        <v>66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66</v>
      </c>
      <c r="Z653">
        <v>0</v>
      </c>
      <c r="AA653">
        <v>0</v>
      </c>
      <c r="AC653">
        <v>97.6</v>
      </c>
    </row>
    <row r="654" spans="1:29">
      <c r="A654">
        <v>647</v>
      </c>
      <c r="B654">
        <v>3986</v>
      </c>
      <c r="C654" t="s">
        <v>1586</v>
      </c>
      <c r="D654" t="s">
        <v>248</v>
      </c>
      <c r="E654" t="s">
        <v>1587</v>
      </c>
      <c r="F654" t="s">
        <v>1588</v>
      </c>
      <c r="G654" t="str">
        <f>"00200858"</f>
        <v>00200858</v>
      </c>
      <c r="H654">
        <v>38.56</v>
      </c>
      <c r="I654">
        <v>0</v>
      </c>
      <c r="M654">
        <v>0</v>
      </c>
      <c r="N654">
        <v>4</v>
      </c>
      <c r="O654">
        <v>0</v>
      </c>
      <c r="P654">
        <v>42.56</v>
      </c>
      <c r="Q654">
        <v>49</v>
      </c>
      <c r="R654">
        <v>49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49</v>
      </c>
      <c r="Z654">
        <v>6</v>
      </c>
      <c r="AA654">
        <v>0</v>
      </c>
      <c r="AC654">
        <v>97.56</v>
      </c>
    </row>
    <row r="655" spans="1:29">
      <c r="A655">
        <v>648</v>
      </c>
      <c r="B655">
        <v>1399</v>
      </c>
      <c r="C655" t="s">
        <v>1589</v>
      </c>
      <c r="D655" t="s">
        <v>27</v>
      </c>
      <c r="E655" t="s">
        <v>233</v>
      </c>
      <c r="F655" t="s">
        <v>1590</v>
      </c>
      <c r="G655" t="str">
        <f>"00504774"</f>
        <v>00504774</v>
      </c>
      <c r="H655">
        <v>21.44</v>
      </c>
      <c r="I655">
        <v>10</v>
      </c>
      <c r="K655">
        <v>6</v>
      </c>
      <c r="M655">
        <v>6</v>
      </c>
      <c r="N655">
        <v>4</v>
      </c>
      <c r="O655">
        <v>2</v>
      </c>
      <c r="P655">
        <v>43.44</v>
      </c>
      <c r="Q655">
        <v>54</v>
      </c>
      <c r="R655">
        <v>54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54</v>
      </c>
      <c r="Z655">
        <v>0</v>
      </c>
      <c r="AA655">
        <v>0</v>
      </c>
      <c r="AC655">
        <v>97.44</v>
      </c>
    </row>
    <row r="656" spans="1:29">
      <c r="A656">
        <v>649</v>
      </c>
      <c r="B656">
        <v>2609</v>
      </c>
      <c r="C656" t="s">
        <v>1591</v>
      </c>
      <c r="D656" t="s">
        <v>266</v>
      </c>
      <c r="E656" t="s">
        <v>889</v>
      </c>
      <c r="F656" t="s">
        <v>1592</v>
      </c>
      <c r="G656" t="str">
        <f>"00519255"</f>
        <v>00519255</v>
      </c>
      <c r="H656">
        <v>50.4</v>
      </c>
      <c r="I656">
        <v>0</v>
      </c>
      <c r="M656">
        <v>0</v>
      </c>
      <c r="N656">
        <v>4</v>
      </c>
      <c r="O656">
        <v>2</v>
      </c>
      <c r="P656">
        <v>56.4</v>
      </c>
      <c r="Q656">
        <v>35</v>
      </c>
      <c r="R656">
        <v>35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35</v>
      </c>
      <c r="Z656">
        <v>6</v>
      </c>
      <c r="AA656">
        <v>0</v>
      </c>
      <c r="AC656">
        <v>97.4</v>
      </c>
    </row>
    <row r="657" spans="1:29">
      <c r="A657">
        <v>650</v>
      </c>
      <c r="B657">
        <v>4162</v>
      </c>
      <c r="C657" t="s">
        <v>1593</v>
      </c>
      <c r="D657" t="s">
        <v>159</v>
      </c>
      <c r="E657" t="s">
        <v>1594</v>
      </c>
      <c r="F657" t="s">
        <v>1595</v>
      </c>
      <c r="G657" t="str">
        <f>"00478950"</f>
        <v>00478950</v>
      </c>
      <c r="H657">
        <v>50.4</v>
      </c>
      <c r="I657">
        <v>10</v>
      </c>
      <c r="L657">
        <v>4</v>
      </c>
      <c r="M657">
        <v>4</v>
      </c>
      <c r="N657">
        <v>4</v>
      </c>
      <c r="O657">
        <v>2</v>
      </c>
      <c r="P657">
        <v>70.400000000000006</v>
      </c>
      <c r="Q657">
        <v>27</v>
      </c>
      <c r="R657">
        <v>27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27</v>
      </c>
      <c r="Z657">
        <v>0</v>
      </c>
      <c r="AA657">
        <v>0</v>
      </c>
      <c r="AC657">
        <v>97.4</v>
      </c>
    </row>
    <row r="658" spans="1:29">
      <c r="A658">
        <v>651</v>
      </c>
      <c r="B658">
        <v>1633</v>
      </c>
      <c r="C658" t="s">
        <v>453</v>
      </c>
      <c r="D658" t="s">
        <v>130</v>
      </c>
      <c r="E658" t="s">
        <v>156</v>
      </c>
      <c r="F658" t="s">
        <v>1596</v>
      </c>
      <c r="G658" t="str">
        <f>"00514022"</f>
        <v>00514022</v>
      </c>
      <c r="H658">
        <v>29.32</v>
      </c>
      <c r="I658">
        <v>0</v>
      </c>
      <c r="J658">
        <v>8</v>
      </c>
      <c r="M658">
        <v>8</v>
      </c>
      <c r="N658">
        <v>4</v>
      </c>
      <c r="O658">
        <v>2</v>
      </c>
      <c r="P658">
        <v>43.32</v>
      </c>
      <c r="Q658">
        <v>51</v>
      </c>
      <c r="R658">
        <v>51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51</v>
      </c>
      <c r="Z658">
        <v>3</v>
      </c>
      <c r="AA658">
        <v>0</v>
      </c>
      <c r="AC658">
        <v>97.32</v>
      </c>
    </row>
    <row r="659" spans="1:29">
      <c r="A659">
        <v>652</v>
      </c>
      <c r="B659">
        <v>4855</v>
      </c>
      <c r="C659" t="s">
        <v>1597</v>
      </c>
      <c r="D659" t="s">
        <v>1598</v>
      </c>
      <c r="E659" t="s">
        <v>647</v>
      </c>
      <c r="F659" t="s">
        <v>1599</v>
      </c>
      <c r="G659" t="str">
        <f>"00017766"</f>
        <v>00017766</v>
      </c>
      <c r="H659">
        <v>50.4</v>
      </c>
      <c r="I659">
        <v>0</v>
      </c>
      <c r="L659">
        <v>4</v>
      </c>
      <c r="M659">
        <v>4</v>
      </c>
      <c r="N659">
        <v>4</v>
      </c>
      <c r="O659">
        <v>0</v>
      </c>
      <c r="P659">
        <v>58.4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6</v>
      </c>
      <c r="AA659">
        <v>32.799999999999997</v>
      </c>
      <c r="AC659">
        <v>97.2</v>
      </c>
    </row>
    <row r="660" spans="1:29">
      <c r="A660">
        <v>653</v>
      </c>
      <c r="B660">
        <v>3228</v>
      </c>
      <c r="C660" t="s">
        <v>1600</v>
      </c>
      <c r="D660" t="s">
        <v>1601</v>
      </c>
      <c r="E660" t="s">
        <v>15</v>
      </c>
      <c r="F660" t="s">
        <v>1602</v>
      </c>
      <c r="G660" t="str">
        <f>"200712006012"</f>
        <v>200712006012</v>
      </c>
      <c r="H660">
        <v>43.2</v>
      </c>
      <c r="I660">
        <v>10</v>
      </c>
      <c r="J660">
        <v>8</v>
      </c>
      <c r="M660">
        <v>8</v>
      </c>
      <c r="N660">
        <v>4</v>
      </c>
      <c r="O660">
        <v>2</v>
      </c>
      <c r="P660">
        <v>67.2</v>
      </c>
      <c r="Q660">
        <v>27</v>
      </c>
      <c r="R660">
        <v>27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27</v>
      </c>
      <c r="Z660">
        <v>3</v>
      </c>
      <c r="AA660">
        <v>0</v>
      </c>
      <c r="AC660">
        <v>97.2</v>
      </c>
    </row>
    <row r="661" spans="1:29">
      <c r="A661">
        <v>654</v>
      </c>
      <c r="B661">
        <v>1833</v>
      </c>
      <c r="C661" t="s">
        <v>1603</v>
      </c>
      <c r="D661" t="s">
        <v>98</v>
      </c>
      <c r="E661" t="s">
        <v>237</v>
      </c>
      <c r="F661" t="s">
        <v>1604</v>
      </c>
      <c r="G661" t="str">
        <f>"00503741"</f>
        <v>00503741</v>
      </c>
      <c r="H661">
        <v>7.2</v>
      </c>
      <c r="I661">
        <v>10</v>
      </c>
      <c r="M661">
        <v>0</v>
      </c>
      <c r="N661">
        <v>4</v>
      </c>
      <c r="O661">
        <v>2</v>
      </c>
      <c r="P661">
        <v>23.2</v>
      </c>
      <c r="Q661">
        <v>71</v>
      </c>
      <c r="R661">
        <v>71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71</v>
      </c>
      <c r="Z661">
        <v>3</v>
      </c>
      <c r="AA661">
        <v>0</v>
      </c>
      <c r="AC661">
        <v>97.2</v>
      </c>
    </row>
    <row r="662" spans="1:29">
      <c r="A662">
        <v>655</v>
      </c>
      <c r="B662">
        <v>3762</v>
      </c>
      <c r="C662" t="s">
        <v>1605</v>
      </c>
      <c r="D662" t="s">
        <v>400</v>
      </c>
      <c r="E662" t="s">
        <v>15</v>
      </c>
      <c r="F662" t="s">
        <v>1606</v>
      </c>
      <c r="G662" t="str">
        <f>"00530960"</f>
        <v>00530960</v>
      </c>
      <c r="H662">
        <v>43.2</v>
      </c>
      <c r="I662">
        <v>0</v>
      </c>
      <c r="L662">
        <v>4</v>
      </c>
      <c r="M662">
        <v>4</v>
      </c>
      <c r="N662">
        <v>4</v>
      </c>
      <c r="O662">
        <v>0</v>
      </c>
      <c r="P662">
        <v>51.2</v>
      </c>
      <c r="Q662">
        <v>46</v>
      </c>
      <c r="R662">
        <v>46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46</v>
      </c>
      <c r="Z662">
        <v>0</v>
      </c>
      <c r="AA662">
        <v>0</v>
      </c>
      <c r="AC662">
        <v>97.2</v>
      </c>
    </row>
    <row r="663" spans="1:29">
      <c r="A663">
        <v>656</v>
      </c>
      <c r="B663">
        <v>1082</v>
      </c>
      <c r="C663" t="s">
        <v>1607</v>
      </c>
      <c r="D663" t="s">
        <v>784</v>
      </c>
      <c r="E663" t="s">
        <v>369</v>
      </c>
      <c r="F663" t="s">
        <v>1608</v>
      </c>
      <c r="G663" t="str">
        <f>"00480886"</f>
        <v>00480886</v>
      </c>
      <c r="H663">
        <v>38</v>
      </c>
      <c r="I663">
        <v>0</v>
      </c>
      <c r="K663">
        <v>12</v>
      </c>
      <c r="M663">
        <v>12</v>
      </c>
      <c r="N663">
        <v>4</v>
      </c>
      <c r="O663">
        <v>2</v>
      </c>
      <c r="P663">
        <v>56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9</v>
      </c>
      <c r="AA663">
        <v>32</v>
      </c>
      <c r="AC663">
        <v>97</v>
      </c>
    </row>
    <row r="664" spans="1:29">
      <c r="A664">
        <v>657</v>
      </c>
      <c r="B664">
        <v>3996</v>
      </c>
      <c r="C664" t="s">
        <v>1609</v>
      </c>
      <c r="D664" t="s">
        <v>261</v>
      </c>
      <c r="E664" t="s">
        <v>79</v>
      </c>
      <c r="F664" t="s">
        <v>1610</v>
      </c>
      <c r="G664" t="str">
        <f>"00507006"</f>
        <v>00507006</v>
      </c>
      <c r="H664">
        <v>36</v>
      </c>
      <c r="I664">
        <v>0</v>
      </c>
      <c r="M664">
        <v>0</v>
      </c>
      <c r="N664">
        <v>4</v>
      </c>
      <c r="O664">
        <v>2</v>
      </c>
      <c r="P664">
        <v>42</v>
      </c>
      <c r="Q664">
        <v>35</v>
      </c>
      <c r="R664">
        <v>35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35</v>
      </c>
      <c r="Z664">
        <v>0</v>
      </c>
      <c r="AA664">
        <v>20</v>
      </c>
      <c r="AC664">
        <v>97</v>
      </c>
    </row>
    <row r="665" spans="1:29">
      <c r="A665">
        <v>658</v>
      </c>
      <c r="B665">
        <v>1746</v>
      </c>
      <c r="C665" t="s">
        <v>1605</v>
      </c>
      <c r="D665" t="s">
        <v>164</v>
      </c>
      <c r="E665" t="s">
        <v>15</v>
      </c>
      <c r="F665" t="s">
        <v>1611</v>
      </c>
      <c r="G665" t="str">
        <f>"00189344"</f>
        <v>00189344</v>
      </c>
      <c r="H665">
        <v>36</v>
      </c>
      <c r="I665">
        <v>0</v>
      </c>
      <c r="J665">
        <v>8</v>
      </c>
      <c r="M665">
        <v>8</v>
      </c>
      <c r="N665">
        <v>4</v>
      </c>
      <c r="O665">
        <v>2</v>
      </c>
      <c r="P665">
        <v>50</v>
      </c>
      <c r="Q665">
        <v>35</v>
      </c>
      <c r="R665">
        <v>35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35</v>
      </c>
      <c r="Z665">
        <v>12</v>
      </c>
      <c r="AA665">
        <v>0</v>
      </c>
      <c r="AC665">
        <v>97</v>
      </c>
    </row>
    <row r="666" spans="1:29">
      <c r="A666">
        <v>659</v>
      </c>
      <c r="B666">
        <v>2563</v>
      </c>
      <c r="C666" t="s">
        <v>1612</v>
      </c>
      <c r="D666" t="s">
        <v>164</v>
      </c>
      <c r="E666" t="s">
        <v>134</v>
      </c>
      <c r="F666" t="s">
        <v>1613</v>
      </c>
      <c r="G666" t="str">
        <f>"00532831"</f>
        <v>00532831</v>
      </c>
      <c r="H666">
        <v>32</v>
      </c>
      <c r="I666">
        <v>0</v>
      </c>
      <c r="M666">
        <v>0</v>
      </c>
      <c r="N666">
        <v>4</v>
      </c>
      <c r="O666">
        <v>2</v>
      </c>
      <c r="P666">
        <v>38</v>
      </c>
      <c r="Q666">
        <v>50</v>
      </c>
      <c r="R666">
        <v>50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50</v>
      </c>
      <c r="Z666">
        <v>9</v>
      </c>
      <c r="AA666">
        <v>0</v>
      </c>
      <c r="AC666">
        <v>97</v>
      </c>
    </row>
    <row r="667" spans="1:29">
      <c r="A667">
        <v>660</v>
      </c>
      <c r="B667">
        <v>1346</v>
      </c>
      <c r="C667" t="s">
        <v>1614</v>
      </c>
      <c r="D667" t="s">
        <v>31</v>
      </c>
      <c r="E667" t="s">
        <v>410</v>
      </c>
      <c r="F667" t="s">
        <v>1615</v>
      </c>
      <c r="G667" t="str">
        <f>"00532113"</f>
        <v>00532113</v>
      </c>
      <c r="H667">
        <v>28</v>
      </c>
      <c r="I667">
        <v>10</v>
      </c>
      <c r="M667">
        <v>0</v>
      </c>
      <c r="N667">
        <v>4</v>
      </c>
      <c r="O667">
        <v>2</v>
      </c>
      <c r="P667">
        <v>44</v>
      </c>
      <c r="Q667">
        <v>53</v>
      </c>
      <c r="R667">
        <v>53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53</v>
      </c>
      <c r="Z667">
        <v>0</v>
      </c>
      <c r="AA667">
        <v>0</v>
      </c>
      <c r="AC667">
        <v>97</v>
      </c>
    </row>
    <row r="668" spans="1:29">
      <c r="A668">
        <v>661</v>
      </c>
      <c r="B668">
        <v>471</v>
      </c>
      <c r="C668" t="s">
        <v>1616</v>
      </c>
      <c r="D668" t="s">
        <v>185</v>
      </c>
      <c r="E668" t="s">
        <v>36</v>
      </c>
      <c r="F668" t="s">
        <v>1617</v>
      </c>
      <c r="G668" t="str">
        <f>"00531343"</f>
        <v>00531343</v>
      </c>
      <c r="H668">
        <v>64.8</v>
      </c>
      <c r="I668">
        <v>0</v>
      </c>
      <c r="L668">
        <v>4</v>
      </c>
      <c r="M668">
        <v>4</v>
      </c>
      <c r="N668">
        <v>4</v>
      </c>
      <c r="O668">
        <v>2</v>
      </c>
      <c r="P668">
        <v>74.8</v>
      </c>
      <c r="Q668">
        <v>16</v>
      </c>
      <c r="R668">
        <v>16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16</v>
      </c>
      <c r="Z668">
        <v>6</v>
      </c>
      <c r="AA668">
        <v>0</v>
      </c>
      <c r="AC668">
        <v>96.8</v>
      </c>
    </row>
    <row r="669" spans="1:29">
      <c r="A669">
        <v>662</v>
      </c>
      <c r="B669">
        <v>571</v>
      </c>
      <c r="C669" t="s">
        <v>1618</v>
      </c>
      <c r="D669" t="s">
        <v>930</v>
      </c>
      <c r="E669" t="s">
        <v>28</v>
      </c>
      <c r="F669" t="s">
        <v>1619</v>
      </c>
      <c r="G669" t="str">
        <f>"00157932"</f>
        <v>00157932</v>
      </c>
      <c r="H669">
        <v>28.8</v>
      </c>
      <c r="I669">
        <v>10</v>
      </c>
      <c r="L669">
        <v>4</v>
      </c>
      <c r="M669">
        <v>4</v>
      </c>
      <c r="N669">
        <v>4</v>
      </c>
      <c r="O669">
        <v>2</v>
      </c>
      <c r="P669">
        <v>48.8</v>
      </c>
      <c r="Q669">
        <v>42</v>
      </c>
      <c r="R669">
        <v>42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42</v>
      </c>
      <c r="Z669">
        <v>6</v>
      </c>
      <c r="AA669">
        <v>0</v>
      </c>
      <c r="AC669">
        <v>96.8</v>
      </c>
    </row>
    <row r="670" spans="1:29">
      <c r="A670">
        <v>663</v>
      </c>
      <c r="B670">
        <v>3681</v>
      </c>
      <c r="C670" t="s">
        <v>1620</v>
      </c>
      <c r="D670" t="s">
        <v>27</v>
      </c>
      <c r="E670" t="s">
        <v>187</v>
      </c>
      <c r="F670" t="s">
        <v>1621</v>
      </c>
      <c r="G670" t="str">
        <f>"00152479"</f>
        <v>00152479</v>
      </c>
      <c r="H670">
        <v>28.8</v>
      </c>
      <c r="I670">
        <v>0</v>
      </c>
      <c r="M670">
        <v>0</v>
      </c>
      <c r="N670">
        <v>4</v>
      </c>
      <c r="O670">
        <v>2</v>
      </c>
      <c r="P670">
        <v>34.799999999999997</v>
      </c>
      <c r="Q670">
        <v>56</v>
      </c>
      <c r="R670">
        <v>56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56</v>
      </c>
      <c r="Z670">
        <v>6</v>
      </c>
      <c r="AA670">
        <v>0</v>
      </c>
      <c r="AC670">
        <v>96.8</v>
      </c>
    </row>
    <row r="671" spans="1:29">
      <c r="A671">
        <v>664</v>
      </c>
      <c r="B671">
        <v>4481</v>
      </c>
      <c r="C671" t="s">
        <v>1622</v>
      </c>
      <c r="D671" t="s">
        <v>52</v>
      </c>
      <c r="E671" t="s">
        <v>1623</v>
      </c>
      <c r="F671" t="s">
        <v>1624</v>
      </c>
      <c r="G671" t="str">
        <f>"00530179"</f>
        <v>00530179</v>
      </c>
      <c r="H671">
        <v>64.8</v>
      </c>
      <c r="I671">
        <v>10</v>
      </c>
      <c r="K671">
        <v>6</v>
      </c>
      <c r="M671">
        <v>6</v>
      </c>
      <c r="N671">
        <v>4</v>
      </c>
      <c r="O671">
        <v>2</v>
      </c>
      <c r="P671">
        <v>86.8</v>
      </c>
      <c r="Q671">
        <v>7</v>
      </c>
      <c r="R671">
        <v>7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7</v>
      </c>
      <c r="Z671">
        <v>3</v>
      </c>
      <c r="AA671">
        <v>0</v>
      </c>
      <c r="AC671">
        <v>96.8</v>
      </c>
    </row>
    <row r="672" spans="1:29">
      <c r="A672">
        <v>665</v>
      </c>
      <c r="B672">
        <v>2534</v>
      </c>
      <c r="C672" t="s">
        <v>1625</v>
      </c>
      <c r="D672" t="s">
        <v>735</v>
      </c>
      <c r="E672" t="s">
        <v>647</v>
      </c>
      <c r="F672" t="s">
        <v>1626</v>
      </c>
      <c r="G672" t="str">
        <f>"00321216"</f>
        <v>00321216</v>
      </c>
      <c r="H672">
        <v>38.799999999999997</v>
      </c>
      <c r="I672">
        <v>10</v>
      </c>
      <c r="L672">
        <v>4</v>
      </c>
      <c r="M672">
        <v>4</v>
      </c>
      <c r="N672">
        <v>4</v>
      </c>
      <c r="O672">
        <v>0</v>
      </c>
      <c r="P672">
        <v>56.8</v>
      </c>
      <c r="Q672">
        <v>37</v>
      </c>
      <c r="R672">
        <v>37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37</v>
      </c>
      <c r="Z672">
        <v>3</v>
      </c>
      <c r="AA672">
        <v>0</v>
      </c>
      <c r="AC672">
        <v>96.8</v>
      </c>
    </row>
    <row r="673" spans="1:29">
      <c r="A673">
        <v>666</v>
      </c>
      <c r="B673">
        <v>2215</v>
      </c>
      <c r="C673" t="s">
        <v>1627</v>
      </c>
      <c r="D673" t="s">
        <v>52</v>
      </c>
      <c r="E673" t="s">
        <v>369</v>
      </c>
      <c r="F673" t="s">
        <v>1628</v>
      </c>
      <c r="G673" t="str">
        <f>"201402005200"</f>
        <v>201402005200</v>
      </c>
      <c r="H673">
        <v>64.8</v>
      </c>
      <c r="I673">
        <v>0</v>
      </c>
      <c r="J673">
        <v>8</v>
      </c>
      <c r="M673">
        <v>8</v>
      </c>
      <c r="N673">
        <v>4</v>
      </c>
      <c r="O673">
        <v>2</v>
      </c>
      <c r="P673">
        <v>78.8</v>
      </c>
      <c r="Q673">
        <v>18</v>
      </c>
      <c r="R673">
        <v>18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18</v>
      </c>
      <c r="Z673">
        <v>0</v>
      </c>
      <c r="AA673">
        <v>0</v>
      </c>
      <c r="AC673">
        <v>96.8</v>
      </c>
    </row>
    <row r="674" spans="1:29">
      <c r="A674">
        <v>667</v>
      </c>
      <c r="B674">
        <v>342</v>
      </c>
      <c r="C674" t="s">
        <v>1629</v>
      </c>
      <c r="D674" t="s">
        <v>27</v>
      </c>
      <c r="E674" t="s">
        <v>28</v>
      </c>
      <c r="F674" t="s">
        <v>1630</v>
      </c>
      <c r="G674" t="str">
        <f>"00514200"</f>
        <v>00514200</v>
      </c>
      <c r="H674">
        <v>21.6</v>
      </c>
      <c r="I674">
        <v>10</v>
      </c>
      <c r="M674">
        <v>0</v>
      </c>
      <c r="N674">
        <v>0</v>
      </c>
      <c r="O674">
        <v>0</v>
      </c>
      <c r="P674">
        <v>31.6</v>
      </c>
      <c r="Q674">
        <v>37</v>
      </c>
      <c r="R674">
        <v>37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37</v>
      </c>
      <c r="Z674">
        <v>0</v>
      </c>
      <c r="AA674">
        <v>28</v>
      </c>
      <c r="AC674">
        <v>96.6</v>
      </c>
    </row>
    <row r="675" spans="1:29">
      <c r="A675">
        <v>668</v>
      </c>
      <c r="B675">
        <v>3872</v>
      </c>
      <c r="C675" t="s">
        <v>1631</v>
      </c>
      <c r="D675" t="s">
        <v>175</v>
      </c>
      <c r="E675" t="s">
        <v>28</v>
      </c>
      <c r="F675" t="s">
        <v>1632</v>
      </c>
      <c r="G675" t="str">
        <f>"00496998"</f>
        <v>00496998</v>
      </c>
      <c r="H675">
        <v>21.6</v>
      </c>
      <c r="I675">
        <v>0</v>
      </c>
      <c r="M675">
        <v>0</v>
      </c>
      <c r="N675">
        <v>0</v>
      </c>
      <c r="O675">
        <v>0</v>
      </c>
      <c r="P675">
        <v>21.6</v>
      </c>
      <c r="Q675">
        <v>69</v>
      </c>
      <c r="R675">
        <v>69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69</v>
      </c>
      <c r="Z675">
        <v>6</v>
      </c>
      <c r="AA675">
        <v>0</v>
      </c>
      <c r="AC675">
        <v>96.6</v>
      </c>
    </row>
    <row r="676" spans="1:29">
      <c r="A676">
        <v>669</v>
      </c>
      <c r="B676">
        <v>3467</v>
      </c>
      <c r="C676" t="s">
        <v>1633</v>
      </c>
      <c r="D676" t="s">
        <v>465</v>
      </c>
      <c r="E676" t="s">
        <v>79</v>
      </c>
      <c r="F676" t="s">
        <v>1634</v>
      </c>
      <c r="G676" t="str">
        <f>"00531426"</f>
        <v>00531426</v>
      </c>
      <c r="H676">
        <v>14.4</v>
      </c>
      <c r="I676">
        <v>10</v>
      </c>
      <c r="L676">
        <v>4</v>
      </c>
      <c r="M676">
        <v>4</v>
      </c>
      <c r="N676">
        <v>4</v>
      </c>
      <c r="O676">
        <v>2</v>
      </c>
      <c r="P676">
        <v>34.4</v>
      </c>
      <c r="Q676">
        <v>62</v>
      </c>
      <c r="R676">
        <v>62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62</v>
      </c>
      <c r="Z676">
        <v>0</v>
      </c>
      <c r="AA676">
        <v>0</v>
      </c>
      <c r="AC676">
        <v>96.4</v>
      </c>
    </row>
    <row r="677" spans="1:29">
      <c r="A677">
        <v>670</v>
      </c>
      <c r="B677">
        <v>2726</v>
      </c>
      <c r="C677" t="s">
        <v>1635</v>
      </c>
      <c r="D677" t="s">
        <v>164</v>
      </c>
      <c r="E677" t="s">
        <v>66</v>
      </c>
      <c r="F677" t="s">
        <v>1636</v>
      </c>
      <c r="G677" t="str">
        <f>"00261947"</f>
        <v>00261947</v>
      </c>
      <c r="H677">
        <v>28.28</v>
      </c>
      <c r="I677">
        <v>10</v>
      </c>
      <c r="J677">
        <v>16</v>
      </c>
      <c r="M677">
        <v>16</v>
      </c>
      <c r="N677">
        <v>4</v>
      </c>
      <c r="O677">
        <v>2</v>
      </c>
      <c r="P677">
        <v>60.28</v>
      </c>
      <c r="Q677">
        <v>36</v>
      </c>
      <c r="R677">
        <v>36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36</v>
      </c>
      <c r="Z677">
        <v>0</v>
      </c>
      <c r="AA677">
        <v>0</v>
      </c>
      <c r="AB677" t="s">
        <v>128</v>
      </c>
      <c r="AC677">
        <v>96.28</v>
      </c>
    </row>
    <row r="678" spans="1:29">
      <c r="A678">
        <v>671</v>
      </c>
      <c r="B678">
        <v>1735</v>
      </c>
      <c r="C678" t="s">
        <v>1637</v>
      </c>
      <c r="D678" t="s">
        <v>108</v>
      </c>
      <c r="E678" t="s">
        <v>66</v>
      </c>
      <c r="F678" t="s">
        <v>1638</v>
      </c>
      <c r="G678" t="str">
        <f>"00504257"</f>
        <v>00504257</v>
      </c>
      <c r="H678">
        <v>43.2</v>
      </c>
      <c r="I678">
        <v>0</v>
      </c>
      <c r="J678">
        <v>8</v>
      </c>
      <c r="M678">
        <v>8</v>
      </c>
      <c r="N678">
        <v>4</v>
      </c>
      <c r="O678">
        <v>2</v>
      </c>
      <c r="P678">
        <v>57.2</v>
      </c>
      <c r="Q678">
        <v>39</v>
      </c>
      <c r="R678">
        <v>39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39</v>
      </c>
      <c r="Z678">
        <v>0</v>
      </c>
      <c r="AA678">
        <v>0</v>
      </c>
      <c r="AC678">
        <v>96.2</v>
      </c>
    </row>
    <row r="679" spans="1:29">
      <c r="A679">
        <v>672</v>
      </c>
      <c r="B679">
        <v>153</v>
      </c>
      <c r="C679" t="s">
        <v>1639</v>
      </c>
      <c r="D679" t="s">
        <v>1640</v>
      </c>
      <c r="E679" t="s">
        <v>165</v>
      </c>
      <c r="F679" t="s">
        <v>1641</v>
      </c>
      <c r="G679" t="str">
        <f>"00523246"</f>
        <v>00523246</v>
      </c>
      <c r="H679">
        <v>37.200000000000003</v>
      </c>
      <c r="I679">
        <v>0</v>
      </c>
      <c r="M679">
        <v>0</v>
      </c>
      <c r="N679">
        <v>4</v>
      </c>
      <c r="O679">
        <v>0</v>
      </c>
      <c r="P679">
        <v>41.2</v>
      </c>
      <c r="Q679">
        <v>55</v>
      </c>
      <c r="R679">
        <v>55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55</v>
      </c>
      <c r="Z679">
        <v>0</v>
      </c>
      <c r="AA679">
        <v>0</v>
      </c>
      <c r="AC679">
        <v>96.2</v>
      </c>
    </row>
    <row r="680" spans="1:29">
      <c r="A680">
        <v>673</v>
      </c>
      <c r="B680">
        <v>2950</v>
      </c>
      <c r="C680" t="s">
        <v>1642</v>
      </c>
      <c r="D680" t="s">
        <v>159</v>
      </c>
      <c r="E680" t="s">
        <v>15</v>
      </c>
      <c r="F680" t="s">
        <v>1643</v>
      </c>
      <c r="G680" t="str">
        <f>"00518119"</f>
        <v>00518119</v>
      </c>
      <c r="H680">
        <v>29.16</v>
      </c>
      <c r="I680">
        <v>10</v>
      </c>
      <c r="M680">
        <v>0</v>
      </c>
      <c r="N680">
        <v>4</v>
      </c>
      <c r="O680">
        <v>2</v>
      </c>
      <c r="P680">
        <v>45.16</v>
      </c>
      <c r="Q680">
        <v>51</v>
      </c>
      <c r="R680">
        <v>51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51</v>
      </c>
      <c r="Z680">
        <v>0</v>
      </c>
      <c r="AA680">
        <v>0</v>
      </c>
      <c r="AC680">
        <v>96.16</v>
      </c>
    </row>
    <row r="681" spans="1:29">
      <c r="A681">
        <v>674</v>
      </c>
      <c r="B681">
        <v>2461</v>
      </c>
      <c r="C681" t="s">
        <v>1644</v>
      </c>
      <c r="D681" t="s">
        <v>1013</v>
      </c>
      <c r="E681" t="s">
        <v>79</v>
      </c>
      <c r="F681" t="s">
        <v>1645</v>
      </c>
      <c r="G681" t="str">
        <f>"00448071"</f>
        <v>00448071</v>
      </c>
      <c r="H681">
        <v>40</v>
      </c>
      <c r="I681">
        <v>10</v>
      </c>
      <c r="L681">
        <v>4</v>
      </c>
      <c r="M681">
        <v>4</v>
      </c>
      <c r="N681">
        <v>4</v>
      </c>
      <c r="O681">
        <v>2</v>
      </c>
      <c r="P681">
        <v>60</v>
      </c>
      <c r="Q681">
        <v>0</v>
      </c>
      <c r="R681">
        <v>0</v>
      </c>
      <c r="S681">
        <v>18</v>
      </c>
      <c r="T681">
        <v>36</v>
      </c>
      <c r="U681">
        <v>0</v>
      </c>
      <c r="V681">
        <v>0</v>
      </c>
      <c r="W681">
        <v>0</v>
      </c>
      <c r="X681">
        <v>0</v>
      </c>
      <c r="Y681">
        <v>36</v>
      </c>
      <c r="Z681">
        <v>0</v>
      </c>
      <c r="AA681">
        <v>0</v>
      </c>
      <c r="AC681">
        <v>96</v>
      </c>
    </row>
    <row r="682" spans="1:29">
      <c r="A682">
        <v>675</v>
      </c>
      <c r="B682">
        <v>4061</v>
      </c>
      <c r="C682" t="s">
        <v>1646</v>
      </c>
      <c r="D682" t="s">
        <v>89</v>
      </c>
      <c r="E682" t="s">
        <v>237</v>
      </c>
      <c r="F682" t="s">
        <v>1647</v>
      </c>
      <c r="G682" t="str">
        <f>"201604001205"</f>
        <v>201604001205</v>
      </c>
      <c r="H682">
        <v>36</v>
      </c>
      <c r="I682">
        <v>10</v>
      </c>
      <c r="L682">
        <v>4</v>
      </c>
      <c r="M682">
        <v>4</v>
      </c>
      <c r="N682">
        <v>4</v>
      </c>
      <c r="O682">
        <v>0</v>
      </c>
      <c r="P682">
        <v>54</v>
      </c>
      <c r="Q682">
        <v>42</v>
      </c>
      <c r="R682">
        <v>42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42</v>
      </c>
      <c r="Z682">
        <v>0</v>
      </c>
      <c r="AA682">
        <v>0</v>
      </c>
      <c r="AC682">
        <v>96</v>
      </c>
    </row>
    <row r="683" spans="1:29">
      <c r="A683">
        <v>676</v>
      </c>
      <c r="B683">
        <v>1926</v>
      </c>
      <c r="C683" t="s">
        <v>1648</v>
      </c>
      <c r="D683" t="s">
        <v>210</v>
      </c>
      <c r="E683" t="s">
        <v>187</v>
      </c>
      <c r="F683" t="s">
        <v>1649</v>
      </c>
      <c r="G683" t="str">
        <f>"00505074"</f>
        <v>00505074</v>
      </c>
      <c r="H683">
        <v>24.84</v>
      </c>
      <c r="I683">
        <v>10</v>
      </c>
      <c r="J683">
        <v>8</v>
      </c>
      <c r="M683">
        <v>8</v>
      </c>
      <c r="N683">
        <v>4</v>
      </c>
      <c r="O683">
        <v>2</v>
      </c>
      <c r="P683">
        <v>48.84</v>
      </c>
      <c r="Q683">
        <v>41</v>
      </c>
      <c r="R683">
        <v>41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41</v>
      </c>
      <c r="Z683">
        <v>6</v>
      </c>
      <c r="AA683">
        <v>0</v>
      </c>
      <c r="AC683">
        <v>95.84</v>
      </c>
    </row>
    <row r="684" spans="1:29">
      <c r="A684">
        <v>677</v>
      </c>
      <c r="B684">
        <v>3964</v>
      </c>
      <c r="C684" t="s">
        <v>1650</v>
      </c>
      <c r="D684" t="s">
        <v>39</v>
      </c>
      <c r="E684" t="s">
        <v>647</v>
      </c>
      <c r="F684" t="s">
        <v>1651</v>
      </c>
      <c r="G684" t="str">
        <f>"201511029348"</f>
        <v>201511029348</v>
      </c>
      <c r="H684">
        <v>64.8</v>
      </c>
      <c r="I684">
        <v>0</v>
      </c>
      <c r="L684">
        <v>4</v>
      </c>
      <c r="M684">
        <v>4</v>
      </c>
      <c r="N684">
        <v>4</v>
      </c>
      <c r="O684">
        <v>2</v>
      </c>
      <c r="P684">
        <v>74.8</v>
      </c>
      <c r="Q684">
        <v>18</v>
      </c>
      <c r="R684">
        <v>18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18</v>
      </c>
      <c r="Z684">
        <v>3</v>
      </c>
      <c r="AA684">
        <v>0</v>
      </c>
      <c r="AC684">
        <v>95.8</v>
      </c>
    </row>
    <row r="685" spans="1:29">
      <c r="A685">
        <v>678</v>
      </c>
      <c r="B685">
        <v>1100</v>
      </c>
      <c r="C685" t="s">
        <v>1652</v>
      </c>
      <c r="D685" t="s">
        <v>1653</v>
      </c>
      <c r="E685" t="s">
        <v>18</v>
      </c>
      <c r="F685" t="s">
        <v>1654</v>
      </c>
      <c r="G685" t="str">
        <f>"00533671"</f>
        <v>00533671</v>
      </c>
      <c r="H685">
        <v>28.8</v>
      </c>
      <c r="I685">
        <v>0</v>
      </c>
      <c r="L685">
        <v>4</v>
      </c>
      <c r="M685">
        <v>4</v>
      </c>
      <c r="N685">
        <v>0</v>
      </c>
      <c r="O685">
        <v>2</v>
      </c>
      <c r="P685">
        <v>34.799999999999997</v>
      </c>
      <c r="Q685">
        <v>61</v>
      </c>
      <c r="R685">
        <v>61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61</v>
      </c>
      <c r="Z685">
        <v>0</v>
      </c>
      <c r="AA685">
        <v>0</v>
      </c>
      <c r="AC685">
        <v>95.8</v>
      </c>
    </row>
    <row r="686" spans="1:29">
      <c r="A686">
        <v>679</v>
      </c>
      <c r="B686">
        <v>2493</v>
      </c>
      <c r="C686" t="s">
        <v>1655</v>
      </c>
      <c r="D686" t="s">
        <v>108</v>
      </c>
      <c r="E686" t="s">
        <v>115</v>
      </c>
      <c r="F686" t="s">
        <v>1656</v>
      </c>
      <c r="G686" t="str">
        <f>"201511026833"</f>
        <v>201511026833</v>
      </c>
      <c r="H686">
        <v>57.6</v>
      </c>
      <c r="I686">
        <v>10</v>
      </c>
      <c r="L686">
        <v>4</v>
      </c>
      <c r="M686">
        <v>4</v>
      </c>
      <c r="N686">
        <v>4</v>
      </c>
      <c r="O686">
        <v>2</v>
      </c>
      <c r="P686">
        <v>77.599999999999994</v>
      </c>
      <c r="Q686">
        <v>18</v>
      </c>
      <c r="R686">
        <v>18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18</v>
      </c>
      <c r="Z686">
        <v>0</v>
      </c>
      <c r="AA686">
        <v>0</v>
      </c>
      <c r="AC686">
        <v>95.6</v>
      </c>
    </row>
    <row r="687" spans="1:29">
      <c r="A687">
        <v>680</v>
      </c>
      <c r="B687">
        <v>4076</v>
      </c>
      <c r="C687" t="s">
        <v>1657</v>
      </c>
      <c r="D687" t="s">
        <v>86</v>
      </c>
      <c r="E687" t="s">
        <v>379</v>
      </c>
      <c r="F687" t="s">
        <v>1658</v>
      </c>
      <c r="G687" t="str">
        <f>"00511774"</f>
        <v>00511774</v>
      </c>
      <c r="H687">
        <v>21.6</v>
      </c>
      <c r="I687">
        <v>10</v>
      </c>
      <c r="J687">
        <v>8</v>
      </c>
      <c r="M687">
        <v>8</v>
      </c>
      <c r="N687">
        <v>4</v>
      </c>
      <c r="O687">
        <v>2</v>
      </c>
      <c r="P687">
        <v>45.6</v>
      </c>
      <c r="Q687">
        <v>50</v>
      </c>
      <c r="R687">
        <v>50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50</v>
      </c>
      <c r="Z687">
        <v>0</v>
      </c>
      <c r="AA687">
        <v>0</v>
      </c>
      <c r="AC687">
        <v>95.6</v>
      </c>
    </row>
    <row r="688" spans="1:29">
      <c r="A688">
        <v>681</v>
      </c>
      <c r="B688">
        <v>3653</v>
      </c>
      <c r="C688" t="s">
        <v>1076</v>
      </c>
      <c r="D688" t="s">
        <v>164</v>
      </c>
      <c r="E688" t="s">
        <v>79</v>
      </c>
      <c r="F688" t="s">
        <v>1659</v>
      </c>
      <c r="G688" t="str">
        <f>"200801008134"</f>
        <v>200801008134</v>
      </c>
      <c r="H688">
        <v>28.6</v>
      </c>
      <c r="I688">
        <v>0</v>
      </c>
      <c r="L688">
        <v>4</v>
      </c>
      <c r="M688">
        <v>4</v>
      </c>
      <c r="N688">
        <v>4</v>
      </c>
      <c r="O688">
        <v>0</v>
      </c>
      <c r="P688">
        <v>36.6</v>
      </c>
      <c r="Q688">
        <v>59</v>
      </c>
      <c r="R688">
        <v>59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59</v>
      </c>
      <c r="Z688">
        <v>0</v>
      </c>
      <c r="AA688">
        <v>0</v>
      </c>
      <c r="AC688">
        <v>95.6</v>
      </c>
    </row>
    <row r="689" spans="1:29">
      <c r="A689">
        <v>682</v>
      </c>
      <c r="B689">
        <v>3961</v>
      </c>
      <c r="C689" t="s">
        <v>738</v>
      </c>
      <c r="D689" t="s">
        <v>1660</v>
      </c>
      <c r="E689" t="s">
        <v>79</v>
      </c>
      <c r="F689" t="s">
        <v>1661</v>
      </c>
      <c r="G689" t="str">
        <f>"201403000226"</f>
        <v>201403000226</v>
      </c>
      <c r="H689">
        <v>21.6</v>
      </c>
      <c r="I689">
        <v>0</v>
      </c>
      <c r="J689">
        <v>8</v>
      </c>
      <c r="M689">
        <v>8</v>
      </c>
      <c r="N689">
        <v>4</v>
      </c>
      <c r="O689">
        <v>2</v>
      </c>
      <c r="P689">
        <v>35.6</v>
      </c>
      <c r="Q689">
        <v>60</v>
      </c>
      <c r="R689">
        <v>60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60</v>
      </c>
      <c r="Z689">
        <v>0</v>
      </c>
      <c r="AA689">
        <v>0</v>
      </c>
      <c r="AC689">
        <v>95.6</v>
      </c>
    </row>
    <row r="690" spans="1:29">
      <c r="A690">
        <v>683</v>
      </c>
      <c r="B690">
        <v>2628</v>
      </c>
      <c r="C690" t="s">
        <v>1662</v>
      </c>
      <c r="D690" t="s">
        <v>145</v>
      </c>
      <c r="E690" t="s">
        <v>647</v>
      </c>
      <c r="F690" t="s">
        <v>1663</v>
      </c>
      <c r="G690" t="str">
        <f>"00152640"</f>
        <v>00152640</v>
      </c>
      <c r="H690">
        <v>38.68</v>
      </c>
      <c r="I690">
        <v>0</v>
      </c>
      <c r="M690">
        <v>0</v>
      </c>
      <c r="N690">
        <v>4</v>
      </c>
      <c r="O690">
        <v>2</v>
      </c>
      <c r="P690">
        <v>44.68</v>
      </c>
      <c r="Q690">
        <v>18</v>
      </c>
      <c r="R690">
        <v>18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18</v>
      </c>
      <c r="Z690">
        <v>6</v>
      </c>
      <c r="AA690">
        <v>26.8</v>
      </c>
      <c r="AC690">
        <v>95.48</v>
      </c>
    </row>
    <row r="691" spans="1:29">
      <c r="A691">
        <v>684</v>
      </c>
      <c r="B691">
        <v>589</v>
      </c>
      <c r="C691" t="s">
        <v>1664</v>
      </c>
      <c r="D691" t="s">
        <v>739</v>
      </c>
      <c r="E691" t="s">
        <v>337</v>
      </c>
      <c r="F691" t="s">
        <v>1665</v>
      </c>
      <c r="G691" t="str">
        <f>"00140053"</f>
        <v>00140053</v>
      </c>
      <c r="H691">
        <v>50.4</v>
      </c>
      <c r="I691">
        <v>10</v>
      </c>
      <c r="J691">
        <v>8</v>
      </c>
      <c r="M691">
        <v>8</v>
      </c>
      <c r="N691">
        <v>4</v>
      </c>
      <c r="O691">
        <v>2</v>
      </c>
      <c r="P691">
        <v>74.400000000000006</v>
      </c>
      <c r="Q691">
        <v>21</v>
      </c>
      <c r="R691">
        <v>21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21</v>
      </c>
      <c r="Z691">
        <v>0</v>
      </c>
      <c r="AA691">
        <v>0</v>
      </c>
      <c r="AC691">
        <v>95.4</v>
      </c>
    </row>
    <row r="692" spans="1:29">
      <c r="A692">
        <v>685</v>
      </c>
      <c r="B692">
        <v>2373</v>
      </c>
      <c r="C692" t="s">
        <v>1666</v>
      </c>
      <c r="D692" t="s">
        <v>24</v>
      </c>
      <c r="E692" t="s">
        <v>187</v>
      </c>
      <c r="F692" t="s">
        <v>1667</v>
      </c>
      <c r="G692" t="str">
        <f>"00503368"</f>
        <v>00503368</v>
      </c>
      <c r="H692">
        <v>28.36</v>
      </c>
      <c r="I692">
        <v>0</v>
      </c>
      <c r="M692">
        <v>0</v>
      </c>
      <c r="N692">
        <v>0</v>
      </c>
      <c r="O692">
        <v>0</v>
      </c>
      <c r="P692">
        <v>28.36</v>
      </c>
      <c r="Q692">
        <v>61</v>
      </c>
      <c r="R692">
        <v>61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61</v>
      </c>
      <c r="Z692">
        <v>6</v>
      </c>
      <c r="AA692">
        <v>0</v>
      </c>
      <c r="AC692">
        <v>95.36</v>
      </c>
    </row>
    <row r="693" spans="1:29">
      <c r="A693">
        <v>686</v>
      </c>
      <c r="B693">
        <v>1028</v>
      </c>
      <c r="C693" t="s">
        <v>1668</v>
      </c>
      <c r="D693" t="s">
        <v>27</v>
      </c>
      <c r="E693" t="s">
        <v>252</v>
      </c>
      <c r="F693" t="s">
        <v>1669</v>
      </c>
      <c r="G693" t="str">
        <f>"00024683"</f>
        <v>00024683</v>
      </c>
      <c r="H693">
        <v>25.32</v>
      </c>
      <c r="I693">
        <v>0</v>
      </c>
      <c r="L693">
        <v>4</v>
      </c>
      <c r="M693">
        <v>4</v>
      </c>
      <c r="N693">
        <v>4</v>
      </c>
      <c r="O693">
        <v>2</v>
      </c>
      <c r="P693">
        <v>35.32</v>
      </c>
      <c r="Q693">
        <v>51</v>
      </c>
      <c r="R693">
        <v>51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51</v>
      </c>
      <c r="Z693">
        <v>9</v>
      </c>
      <c r="AA693">
        <v>0</v>
      </c>
      <c r="AC693">
        <v>95.32</v>
      </c>
    </row>
    <row r="694" spans="1:29">
      <c r="A694">
        <v>687</v>
      </c>
      <c r="B694">
        <v>3792</v>
      </c>
      <c r="C694" t="s">
        <v>1670</v>
      </c>
      <c r="D694" t="s">
        <v>31</v>
      </c>
      <c r="E694" t="s">
        <v>18</v>
      </c>
      <c r="F694" t="s">
        <v>1671</v>
      </c>
      <c r="G694" t="str">
        <f>"00525627"</f>
        <v>00525627</v>
      </c>
      <c r="H694">
        <v>13.24</v>
      </c>
      <c r="I694">
        <v>0</v>
      </c>
      <c r="M694">
        <v>0</v>
      </c>
      <c r="N694">
        <v>4</v>
      </c>
      <c r="O694">
        <v>0</v>
      </c>
      <c r="P694">
        <v>17.239999999999998</v>
      </c>
      <c r="Q694">
        <v>78</v>
      </c>
      <c r="R694">
        <v>78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78</v>
      </c>
      <c r="Z694">
        <v>0</v>
      </c>
      <c r="AA694">
        <v>0</v>
      </c>
      <c r="AC694">
        <v>95.24</v>
      </c>
    </row>
    <row r="695" spans="1:29">
      <c r="A695">
        <v>688</v>
      </c>
      <c r="B695">
        <v>2523</v>
      </c>
      <c r="C695" t="s">
        <v>1672</v>
      </c>
      <c r="D695" t="s">
        <v>52</v>
      </c>
      <c r="E695" t="s">
        <v>15</v>
      </c>
      <c r="F695" t="s">
        <v>1673</v>
      </c>
      <c r="G695" t="str">
        <f>"00212100"</f>
        <v>00212100</v>
      </c>
      <c r="H695">
        <v>43.2</v>
      </c>
      <c r="I695">
        <v>0</v>
      </c>
      <c r="L695">
        <v>4</v>
      </c>
      <c r="M695">
        <v>4</v>
      </c>
      <c r="N695">
        <v>4</v>
      </c>
      <c r="O695">
        <v>2</v>
      </c>
      <c r="P695">
        <v>53.2</v>
      </c>
      <c r="Q695">
        <v>36</v>
      </c>
      <c r="R695">
        <v>36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36</v>
      </c>
      <c r="Z695">
        <v>6</v>
      </c>
      <c r="AA695">
        <v>0</v>
      </c>
      <c r="AC695">
        <v>95.2</v>
      </c>
    </row>
    <row r="696" spans="1:29">
      <c r="A696">
        <v>689</v>
      </c>
      <c r="B696">
        <v>2436</v>
      </c>
      <c r="C696" t="s">
        <v>1674</v>
      </c>
      <c r="D696" t="s">
        <v>108</v>
      </c>
      <c r="E696" t="s">
        <v>18</v>
      </c>
      <c r="F696" t="s">
        <v>1675</v>
      </c>
      <c r="G696" t="str">
        <f>"00475391"</f>
        <v>00475391</v>
      </c>
      <c r="H696">
        <v>43.2</v>
      </c>
      <c r="I696">
        <v>0</v>
      </c>
      <c r="M696">
        <v>0</v>
      </c>
      <c r="N696">
        <v>4</v>
      </c>
      <c r="O696">
        <v>2</v>
      </c>
      <c r="P696">
        <v>49.2</v>
      </c>
      <c r="Q696">
        <v>46</v>
      </c>
      <c r="R696">
        <v>46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46</v>
      </c>
      <c r="Z696">
        <v>0</v>
      </c>
      <c r="AA696">
        <v>0</v>
      </c>
      <c r="AC696">
        <v>95.2</v>
      </c>
    </row>
    <row r="697" spans="1:29">
      <c r="A697">
        <v>690</v>
      </c>
      <c r="B697">
        <v>600</v>
      </c>
      <c r="C697" t="s">
        <v>1676</v>
      </c>
      <c r="D697" t="s">
        <v>251</v>
      </c>
      <c r="E697" t="s">
        <v>28</v>
      </c>
      <c r="F697" t="s">
        <v>1677</v>
      </c>
      <c r="G697" t="str">
        <f>"00526050"</f>
        <v>00526050</v>
      </c>
      <c r="H697">
        <v>0</v>
      </c>
      <c r="I697">
        <v>0</v>
      </c>
      <c r="M697">
        <v>0</v>
      </c>
      <c r="N697">
        <v>4</v>
      </c>
      <c r="O697">
        <v>2</v>
      </c>
      <c r="P697">
        <v>6</v>
      </c>
      <c r="Q697">
        <v>89</v>
      </c>
      <c r="R697">
        <v>89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89</v>
      </c>
      <c r="Z697">
        <v>0</v>
      </c>
      <c r="AA697">
        <v>0</v>
      </c>
      <c r="AC697">
        <v>95</v>
      </c>
    </row>
    <row r="698" spans="1:29">
      <c r="A698">
        <v>691</v>
      </c>
      <c r="B698">
        <v>1609</v>
      </c>
      <c r="C698" t="s">
        <v>932</v>
      </c>
      <c r="D698" t="s">
        <v>39</v>
      </c>
      <c r="E698" t="s">
        <v>28</v>
      </c>
      <c r="F698" t="s">
        <v>1678</v>
      </c>
      <c r="G698" t="str">
        <f>"00455806"</f>
        <v>00455806</v>
      </c>
      <c r="H698">
        <v>29.08</v>
      </c>
      <c r="I698">
        <v>10</v>
      </c>
      <c r="M698">
        <v>0</v>
      </c>
      <c r="N698">
        <v>4</v>
      </c>
      <c r="O698">
        <v>0</v>
      </c>
      <c r="P698">
        <v>43.08</v>
      </c>
      <c r="Q698">
        <v>25</v>
      </c>
      <c r="R698">
        <v>25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25</v>
      </c>
      <c r="Z698">
        <v>0</v>
      </c>
      <c r="AA698">
        <v>26.8</v>
      </c>
      <c r="AC698">
        <v>94.88</v>
      </c>
    </row>
    <row r="699" spans="1:29">
      <c r="A699">
        <v>692</v>
      </c>
      <c r="B699">
        <v>56</v>
      </c>
      <c r="C699" t="s">
        <v>1679</v>
      </c>
      <c r="D699" t="s">
        <v>1680</v>
      </c>
      <c r="E699" t="s">
        <v>647</v>
      </c>
      <c r="F699" t="s">
        <v>1681</v>
      </c>
      <c r="G699" t="str">
        <f>"00530162"</f>
        <v>00530162</v>
      </c>
      <c r="H699">
        <v>36</v>
      </c>
      <c r="I699">
        <v>10</v>
      </c>
      <c r="M699">
        <v>0</v>
      </c>
      <c r="N699">
        <v>4</v>
      </c>
      <c r="O699">
        <v>0</v>
      </c>
      <c r="P699">
        <v>50</v>
      </c>
      <c r="Q699">
        <v>18</v>
      </c>
      <c r="R699">
        <v>18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18</v>
      </c>
      <c r="Z699">
        <v>0</v>
      </c>
      <c r="AA699">
        <v>26.8</v>
      </c>
      <c r="AC699">
        <v>94.8</v>
      </c>
    </row>
    <row r="700" spans="1:29">
      <c r="A700">
        <v>693</v>
      </c>
      <c r="B700">
        <v>53</v>
      </c>
      <c r="C700" t="s">
        <v>1682</v>
      </c>
      <c r="D700" t="s">
        <v>1208</v>
      </c>
      <c r="E700" t="s">
        <v>134</v>
      </c>
      <c r="F700" t="s">
        <v>1683</v>
      </c>
      <c r="G700" t="str">
        <f>"00489182"</f>
        <v>00489182</v>
      </c>
      <c r="H700">
        <v>64.8</v>
      </c>
      <c r="I700">
        <v>0</v>
      </c>
      <c r="M700">
        <v>0</v>
      </c>
      <c r="N700">
        <v>4</v>
      </c>
      <c r="O700">
        <v>2</v>
      </c>
      <c r="P700">
        <v>70.8</v>
      </c>
      <c r="Q700">
        <v>18</v>
      </c>
      <c r="R700">
        <v>18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18</v>
      </c>
      <c r="Z700">
        <v>6</v>
      </c>
      <c r="AA700">
        <v>0</v>
      </c>
      <c r="AC700">
        <v>94.8</v>
      </c>
    </row>
    <row r="701" spans="1:29">
      <c r="A701">
        <v>694</v>
      </c>
      <c r="B701">
        <v>1732</v>
      </c>
      <c r="C701" t="s">
        <v>1686</v>
      </c>
      <c r="D701" t="s">
        <v>1687</v>
      </c>
      <c r="E701" t="s">
        <v>134</v>
      </c>
      <c r="F701" t="s">
        <v>1688</v>
      </c>
      <c r="G701" t="str">
        <f>"00529881"</f>
        <v>00529881</v>
      </c>
      <c r="H701">
        <v>64.8</v>
      </c>
      <c r="I701">
        <v>0</v>
      </c>
      <c r="J701">
        <v>16</v>
      </c>
      <c r="M701">
        <v>16</v>
      </c>
      <c r="N701">
        <v>4</v>
      </c>
      <c r="O701">
        <v>2</v>
      </c>
      <c r="P701">
        <v>86.8</v>
      </c>
      <c r="Q701">
        <v>8</v>
      </c>
      <c r="R701">
        <v>8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8</v>
      </c>
      <c r="Z701">
        <v>0</v>
      </c>
      <c r="AA701">
        <v>0</v>
      </c>
      <c r="AC701">
        <v>94.8</v>
      </c>
    </row>
    <row r="702" spans="1:29">
      <c r="A702">
        <v>695</v>
      </c>
      <c r="B702">
        <v>4420</v>
      </c>
      <c r="C702" t="s">
        <v>1684</v>
      </c>
      <c r="D702" t="s">
        <v>20</v>
      </c>
      <c r="E702" t="s">
        <v>28</v>
      </c>
      <c r="F702" t="s">
        <v>1685</v>
      </c>
      <c r="G702" t="str">
        <f>"201502001571"</f>
        <v>201502001571</v>
      </c>
      <c r="H702">
        <v>64.8</v>
      </c>
      <c r="I702">
        <v>10</v>
      </c>
      <c r="K702">
        <v>6</v>
      </c>
      <c r="M702">
        <v>6</v>
      </c>
      <c r="N702">
        <v>4</v>
      </c>
      <c r="O702">
        <v>2</v>
      </c>
      <c r="P702">
        <v>86.8</v>
      </c>
      <c r="Q702">
        <v>8</v>
      </c>
      <c r="R702">
        <v>8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8</v>
      </c>
      <c r="Z702">
        <v>0</v>
      </c>
      <c r="AA702">
        <v>0</v>
      </c>
      <c r="AC702">
        <v>94.8</v>
      </c>
    </row>
    <row r="703" spans="1:29">
      <c r="A703">
        <v>696</v>
      </c>
      <c r="B703">
        <v>4482</v>
      </c>
      <c r="C703" t="s">
        <v>178</v>
      </c>
      <c r="D703" t="s">
        <v>164</v>
      </c>
      <c r="E703" t="s">
        <v>115</v>
      </c>
      <c r="F703" t="s">
        <v>1689</v>
      </c>
      <c r="G703" t="str">
        <f>"00515725"</f>
        <v>00515725</v>
      </c>
      <c r="H703">
        <v>64.8</v>
      </c>
      <c r="I703">
        <v>10</v>
      </c>
      <c r="M703">
        <v>0</v>
      </c>
      <c r="N703">
        <v>0</v>
      </c>
      <c r="O703">
        <v>2</v>
      </c>
      <c r="P703">
        <v>76.8</v>
      </c>
      <c r="Q703">
        <v>18</v>
      </c>
      <c r="R703">
        <v>18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18</v>
      </c>
      <c r="Z703">
        <v>0</v>
      </c>
      <c r="AA703">
        <v>0</v>
      </c>
      <c r="AC703">
        <v>94.8</v>
      </c>
    </row>
    <row r="704" spans="1:29">
      <c r="A704">
        <v>697</v>
      </c>
      <c r="B704">
        <v>1671</v>
      </c>
      <c r="C704" t="s">
        <v>1690</v>
      </c>
      <c r="D704" t="s">
        <v>1691</v>
      </c>
      <c r="E704" t="s">
        <v>1692</v>
      </c>
      <c r="F704" t="s">
        <v>1693</v>
      </c>
      <c r="G704" t="str">
        <f>"00498580"</f>
        <v>00498580</v>
      </c>
      <c r="H704">
        <v>28.8</v>
      </c>
      <c r="I704">
        <v>0</v>
      </c>
      <c r="J704">
        <v>8</v>
      </c>
      <c r="M704">
        <v>8</v>
      </c>
      <c r="N704">
        <v>4</v>
      </c>
      <c r="O704">
        <v>2</v>
      </c>
      <c r="P704">
        <v>42.8</v>
      </c>
      <c r="Q704">
        <v>52</v>
      </c>
      <c r="R704">
        <v>52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52</v>
      </c>
      <c r="Z704">
        <v>0</v>
      </c>
      <c r="AA704">
        <v>0</v>
      </c>
      <c r="AC704">
        <v>94.8</v>
      </c>
    </row>
    <row r="705" spans="1:29">
      <c r="A705">
        <v>698</v>
      </c>
      <c r="B705">
        <v>4058</v>
      </c>
      <c r="C705" t="s">
        <v>1694</v>
      </c>
      <c r="D705" t="s">
        <v>1695</v>
      </c>
      <c r="E705" t="s">
        <v>36</v>
      </c>
      <c r="F705" t="s">
        <v>1696</v>
      </c>
      <c r="G705" t="str">
        <f>"00508426"</f>
        <v>00508426</v>
      </c>
      <c r="H705">
        <v>28.8</v>
      </c>
      <c r="I705">
        <v>0</v>
      </c>
      <c r="K705">
        <v>6</v>
      </c>
      <c r="M705">
        <v>6</v>
      </c>
      <c r="N705">
        <v>4</v>
      </c>
      <c r="O705">
        <v>2</v>
      </c>
      <c r="P705">
        <v>40.799999999999997</v>
      </c>
      <c r="Q705">
        <v>54</v>
      </c>
      <c r="R705">
        <v>54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54</v>
      </c>
      <c r="Z705">
        <v>0</v>
      </c>
      <c r="AA705">
        <v>0</v>
      </c>
      <c r="AC705">
        <v>94.8</v>
      </c>
    </row>
    <row r="706" spans="1:29">
      <c r="A706">
        <v>699</v>
      </c>
      <c r="B706">
        <v>4167</v>
      </c>
      <c r="C706" t="s">
        <v>1697</v>
      </c>
      <c r="D706" t="s">
        <v>266</v>
      </c>
      <c r="E706" t="s">
        <v>79</v>
      </c>
      <c r="F706" t="s">
        <v>1698</v>
      </c>
      <c r="G706" t="str">
        <f>"00513701"</f>
        <v>00513701</v>
      </c>
      <c r="H706">
        <v>28.72</v>
      </c>
      <c r="I706">
        <v>0</v>
      </c>
      <c r="M706">
        <v>0</v>
      </c>
      <c r="N706">
        <v>0</v>
      </c>
      <c r="O706">
        <v>0</v>
      </c>
      <c r="P706">
        <v>28.72</v>
      </c>
      <c r="Q706">
        <v>66</v>
      </c>
      <c r="R706">
        <v>66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66</v>
      </c>
      <c r="Z706">
        <v>0</v>
      </c>
      <c r="AA706">
        <v>0</v>
      </c>
      <c r="AC706">
        <v>94.72</v>
      </c>
    </row>
    <row r="707" spans="1:29">
      <c r="A707">
        <v>700</v>
      </c>
      <c r="B707">
        <v>1359</v>
      </c>
      <c r="C707" t="s">
        <v>1699</v>
      </c>
      <c r="D707" t="s">
        <v>1700</v>
      </c>
      <c r="E707" t="s">
        <v>1701</v>
      </c>
      <c r="F707">
        <v>52978305</v>
      </c>
      <c r="G707" t="str">
        <f>"00384166"</f>
        <v>00384166</v>
      </c>
      <c r="H707">
        <v>38.799999999999997</v>
      </c>
      <c r="I707">
        <v>10</v>
      </c>
      <c r="L707">
        <v>4</v>
      </c>
      <c r="M707">
        <v>4</v>
      </c>
      <c r="N707">
        <v>4</v>
      </c>
      <c r="O707">
        <v>2</v>
      </c>
      <c r="P707">
        <v>58.8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9</v>
      </c>
      <c r="AA707">
        <v>26.8</v>
      </c>
      <c r="AC707">
        <v>94.6</v>
      </c>
    </row>
    <row r="708" spans="1:29">
      <c r="A708">
        <v>701</v>
      </c>
      <c r="B708">
        <v>1653</v>
      </c>
      <c r="C708" t="s">
        <v>1702</v>
      </c>
      <c r="D708" t="s">
        <v>86</v>
      </c>
      <c r="E708" t="s">
        <v>28</v>
      </c>
      <c r="F708" t="s">
        <v>1703</v>
      </c>
      <c r="G708" t="str">
        <f>"00339750"</f>
        <v>00339750</v>
      </c>
      <c r="H708">
        <v>39.6</v>
      </c>
      <c r="I708">
        <v>10</v>
      </c>
      <c r="L708">
        <v>4</v>
      </c>
      <c r="M708">
        <v>4</v>
      </c>
      <c r="N708">
        <v>4</v>
      </c>
      <c r="O708">
        <v>0</v>
      </c>
      <c r="P708">
        <v>57.6</v>
      </c>
      <c r="Q708">
        <v>31</v>
      </c>
      <c r="R708">
        <v>31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31</v>
      </c>
      <c r="Z708">
        <v>6</v>
      </c>
      <c r="AA708">
        <v>0</v>
      </c>
      <c r="AC708">
        <v>94.6</v>
      </c>
    </row>
    <row r="709" spans="1:29">
      <c r="A709">
        <v>702</v>
      </c>
      <c r="B709">
        <v>4332</v>
      </c>
      <c r="C709" t="s">
        <v>1704</v>
      </c>
      <c r="D709" t="s">
        <v>52</v>
      </c>
      <c r="E709" t="s">
        <v>15</v>
      </c>
      <c r="F709" t="s">
        <v>1705</v>
      </c>
      <c r="G709" t="str">
        <f>"00531280"</f>
        <v>00531280</v>
      </c>
      <c r="H709">
        <v>57.6</v>
      </c>
      <c r="I709">
        <v>0</v>
      </c>
      <c r="M709">
        <v>0</v>
      </c>
      <c r="N709">
        <v>4</v>
      </c>
      <c r="O709">
        <v>2</v>
      </c>
      <c r="P709">
        <v>63.6</v>
      </c>
      <c r="Q709">
        <v>28</v>
      </c>
      <c r="R709">
        <v>28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28</v>
      </c>
      <c r="Z709">
        <v>3</v>
      </c>
      <c r="AA709">
        <v>0</v>
      </c>
      <c r="AC709">
        <v>94.6</v>
      </c>
    </row>
    <row r="710" spans="1:29">
      <c r="A710">
        <v>703</v>
      </c>
      <c r="B710">
        <v>1354</v>
      </c>
      <c r="C710" t="s">
        <v>1706</v>
      </c>
      <c r="D710" t="s">
        <v>52</v>
      </c>
      <c r="E710" t="s">
        <v>53</v>
      </c>
      <c r="F710" t="s">
        <v>1707</v>
      </c>
      <c r="G710" t="str">
        <f>"00290002"</f>
        <v>00290002</v>
      </c>
      <c r="H710">
        <v>22.56</v>
      </c>
      <c r="I710">
        <v>0</v>
      </c>
      <c r="M710">
        <v>0</v>
      </c>
      <c r="N710">
        <v>4</v>
      </c>
      <c r="O710">
        <v>0</v>
      </c>
      <c r="P710">
        <v>26.56</v>
      </c>
      <c r="Q710">
        <v>56</v>
      </c>
      <c r="R710">
        <v>56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56</v>
      </c>
      <c r="Z710">
        <v>12</v>
      </c>
      <c r="AA710">
        <v>0</v>
      </c>
      <c r="AC710">
        <v>94.56</v>
      </c>
    </row>
    <row r="711" spans="1:29">
      <c r="A711">
        <v>704</v>
      </c>
      <c r="B711">
        <v>2802</v>
      </c>
      <c r="C711" t="s">
        <v>1708</v>
      </c>
      <c r="D711" t="s">
        <v>130</v>
      </c>
      <c r="E711" t="s">
        <v>190</v>
      </c>
      <c r="F711" t="s">
        <v>1709</v>
      </c>
      <c r="G711" t="str">
        <f>"00530645"</f>
        <v>00530645</v>
      </c>
      <c r="H711">
        <v>39.56</v>
      </c>
      <c r="I711">
        <v>0</v>
      </c>
      <c r="L711">
        <v>4</v>
      </c>
      <c r="M711">
        <v>4</v>
      </c>
      <c r="N711">
        <v>4</v>
      </c>
      <c r="O711">
        <v>0</v>
      </c>
      <c r="P711">
        <v>47.56</v>
      </c>
      <c r="Q711">
        <v>47</v>
      </c>
      <c r="R711">
        <v>47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47</v>
      </c>
      <c r="Z711">
        <v>0</v>
      </c>
      <c r="AA711">
        <v>0</v>
      </c>
      <c r="AC711">
        <v>94.56</v>
      </c>
    </row>
    <row r="712" spans="1:29">
      <c r="A712">
        <v>705</v>
      </c>
      <c r="B712">
        <v>425</v>
      </c>
      <c r="C712" t="s">
        <v>1710</v>
      </c>
      <c r="D712" t="s">
        <v>473</v>
      </c>
      <c r="E712" t="s">
        <v>134</v>
      </c>
      <c r="F712" t="s">
        <v>1711</v>
      </c>
      <c r="G712" t="str">
        <f>"00083551"</f>
        <v>00083551</v>
      </c>
      <c r="H712">
        <v>50.4</v>
      </c>
      <c r="I712">
        <v>0</v>
      </c>
      <c r="M712">
        <v>0</v>
      </c>
      <c r="N712">
        <v>4</v>
      </c>
      <c r="O712">
        <v>2</v>
      </c>
      <c r="P712">
        <v>56.4</v>
      </c>
      <c r="Q712">
        <v>35</v>
      </c>
      <c r="R712">
        <v>35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35</v>
      </c>
      <c r="Z712">
        <v>3</v>
      </c>
      <c r="AA712">
        <v>0</v>
      </c>
      <c r="AC712">
        <v>94.4</v>
      </c>
    </row>
    <row r="713" spans="1:29">
      <c r="A713">
        <v>706</v>
      </c>
      <c r="B713">
        <v>3403</v>
      </c>
      <c r="C713" t="s">
        <v>1712</v>
      </c>
      <c r="D713" t="s">
        <v>886</v>
      </c>
      <c r="E713" t="s">
        <v>79</v>
      </c>
      <c r="F713" t="s">
        <v>1713</v>
      </c>
      <c r="G713" t="str">
        <f>"00163158"</f>
        <v>00163158</v>
      </c>
      <c r="H713">
        <v>36.4</v>
      </c>
      <c r="I713">
        <v>0</v>
      </c>
      <c r="M713">
        <v>0</v>
      </c>
      <c r="N713">
        <v>4</v>
      </c>
      <c r="O713">
        <v>2</v>
      </c>
      <c r="P713">
        <v>42.4</v>
      </c>
      <c r="Q713">
        <v>52</v>
      </c>
      <c r="R713">
        <v>52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52</v>
      </c>
      <c r="Z713">
        <v>0</v>
      </c>
      <c r="AA713">
        <v>0</v>
      </c>
      <c r="AC713">
        <v>94.4</v>
      </c>
    </row>
    <row r="714" spans="1:29">
      <c r="A714">
        <v>707</v>
      </c>
      <c r="B714">
        <v>194</v>
      </c>
      <c r="C714" t="s">
        <v>1714</v>
      </c>
      <c r="D714" t="s">
        <v>510</v>
      </c>
      <c r="E714" t="s">
        <v>227</v>
      </c>
      <c r="F714" t="s">
        <v>1715</v>
      </c>
      <c r="G714" t="str">
        <f>"00526911"</f>
        <v>00526911</v>
      </c>
      <c r="H714">
        <v>38.24</v>
      </c>
      <c r="I714">
        <v>0</v>
      </c>
      <c r="M714">
        <v>0</v>
      </c>
      <c r="N714">
        <v>4</v>
      </c>
      <c r="O714">
        <v>0</v>
      </c>
      <c r="P714">
        <v>42.24</v>
      </c>
      <c r="Q714">
        <v>52</v>
      </c>
      <c r="R714">
        <v>52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52</v>
      </c>
      <c r="Z714">
        <v>0</v>
      </c>
      <c r="AA714">
        <v>0</v>
      </c>
      <c r="AC714">
        <v>94.24</v>
      </c>
    </row>
    <row r="715" spans="1:29">
      <c r="A715">
        <v>708</v>
      </c>
      <c r="B715">
        <v>3096</v>
      </c>
      <c r="C715" t="s">
        <v>1716</v>
      </c>
      <c r="D715" t="s">
        <v>1717</v>
      </c>
      <c r="E715" t="s">
        <v>89</v>
      </c>
      <c r="F715" t="s">
        <v>1718</v>
      </c>
      <c r="G715" t="str">
        <f>"201511027175"</f>
        <v>201511027175</v>
      </c>
      <c r="H715">
        <v>50.4</v>
      </c>
      <c r="I715">
        <v>0</v>
      </c>
      <c r="L715">
        <v>4</v>
      </c>
      <c r="M715">
        <v>4</v>
      </c>
      <c r="N715">
        <v>4</v>
      </c>
      <c r="O715">
        <v>0</v>
      </c>
      <c r="P715">
        <v>58.4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9</v>
      </c>
      <c r="AA715">
        <v>26.8</v>
      </c>
      <c r="AC715">
        <v>94.2</v>
      </c>
    </row>
    <row r="716" spans="1:29">
      <c r="A716">
        <v>709</v>
      </c>
      <c r="B716">
        <v>3310</v>
      </c>
      <c r="C716" t="s">
        <v>1719</v>
      </c>
      <c r="D716" t="s">
        <v>159</v>
      </c>
      <c r="E716" t="s">
        <v>1720</v>
      </c>
      <c r="F716" t="s">
        <v>1721</v>
      </c>
      <c r="G716" t="str">
        <f>"00555369"</f>
        <v>00555369</v>
      </c>
      <c r="H716">
        <v>57.6</v>
      </c>
      <c r="I716">
        <v>0</v>
      </c>
      <c r="M716">
        <v>0</v>
      </c>
      <c r="N716">
        <v>4</v>
      </c>
      <c r="O716">
        <v>0</v>
      </c>
      <c r="P716">
        <v>61.6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3</v>
      </c>
      <c r="AA716">
        <v>29.6</v>
      </c>
      <c r="AC716">
        <v>94.2</v>
      </c>
    </row>
    <row r="717" spans="1:29">
      <c r="A717">
        <v>710</v>
      </c>
      <c r="B717">
        <v>4813</v>
      </c>
      <c r="C717" t="s">
        <v>1722</v>
      </c>
      <c r="D717" t="s">
        <v>175</v>
      </c>
      <c r="E717" t="s">
        <v>18</v>
      </c>
      <c r="F717" t="s">
        <v>1723</v>
      </c>
      <c r="G717" t="str">
        <f>"00532689"</f>
        <v>00532689</v>
      </c>
      <c r="H717">
        <v>34.200000000000003</v>
      </c>
      <c r="I717">
        <v>10</v>
      </c>
      <c r="L717">
        <v>4</v>
      </c>
      <c r="M717">
        <v>4</v>
      </c>
      <c r="N717">
        <v>4</v>
      </c>
      <c r="O717">
        <v>2</v>
      </c>
      <c r="P717">
        <v>54.2</v>
      </c>
      <c r="Q717">
        <v>40</v>
      </c>
      <c r="R717">
        <v>40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40</v>
      </c>
      <c r="Z717">
        <v>0</v>
      </c>
      <c r="AA717">
        <v>0</v>
      </c>
      <c r="AC717">
        <v>94.2</v>
      </c>
    </row>
    <row r="718" spans="1:29">
      <c r="A718">
        <v>711</v>
      </c>
      <c r="B718">
        <v>738</v>
      </c>
      <c r="C718" t="s">
        <v>1724</v>
      </c>
      <c r="D718" t="s">
        <v>1299</v>
      </c>
      <c r="E718" t="s">
        <v>1725</v>
      </c>
      <c r="F718" t="s">
        <v>1726</v>
      </c>
      <c r="G718" t="str">
        <f>"00510374"</f>
        <v>00510374</v>
      </c>
      <c r="H718">
        <v>30.12</v>
      </c>
      <c r="I718">
        <v>0</v>
      </c>
      <c r="J718">
        <v>8</v>
      </c>
      <c r="M718">
        <v>8</v>
      </c>
      <c r="N718">
        <v>0</v>
      </c>
      <c r="O718">
        <v>0</v>
      </c>
      <c r="P718">
        <v>38.119999999999997</v>
      </c>
      <c r="Q718">
        <v>47</v>
      </c>
      <c r="R718">
        <v>47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47</v>
      </c>
      <c r="Z718">
        <v>9</v>
      </c>
      <c r="AA718">
        <v>0</v>
      </c>
      <c r="AC718">
        <v>94.12</v>
      </c>
    </row>
    <row r="719" spans="1:29">
      <c r="A719">
        <v>712</v>
      </c>
      <c r="B719">
        <v>1026</v>
      </c>
      <c r="C719" t="s">
        <v>1727</v>
      </c>
      <c r="D719" t="s">
        <v>164</v>
      </c>
      <c r="E719" t="s">
        <v>233</v>
      </c>
      <c r="F719" t="s">
        <v>1728</v>
      </c>
      <c r="G719" t="str">
        <f>"00507406"</f>
        <v>00507406</v>
      </c>
      <c r="H719">
        <v>72</v>
      </c>
      <c r="I719">
        <v>0</v>
      </c>
      <c r="J719">
        <v>8</v>
      </c>
      <c r="M719">
        <v>8</v>
      </c>
      <c r="N719">
        <v>4</v>
      </c>
      <c r="O719">
        <v>2</v>
      </c>
      <c r="P719">
        <v>86</v>
      </c>
      <c r="Q719">
        <v>8</v>
      </c>
      <c r="R719">
        <v>8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8</v>
      </c>
      <c r="Z719">
        <v>0</v>
      </c>
      <c r="AA719">
        <v>0</v>
      </c>
      <c r="AC719">
        <v>94</v>
      </c>
    </row>
    <row r="720" spans="1:29">
      <c r="A720">
        <v>713</v>
      </c>
      <c r="B720">
        <v>22</v>
      </c>
      <c r="C720" t="s">
        <v>1282</v>
      </c>
      <c r="D720" t="s">
        <v>1729</v>
      </c>
      <c r="E720" t="s">
        <v>369</v>
      </c>
      <c r="F720" t="s">
        <v>1730</v>
      </c>
      <c r="G720" t="str">
        <f>"00011581"</f>
        <v>00011581</v>
      </c>
      <c r="H720">
        <v>36</v>
      </c>
      <c r="I720">
        <v>10</v>
      </c>
      <c r="J720">
        <v>8</v>
      </c>
      <c r="M720">
        <v>8</v>
      </c>
      <c r="N720">
        <v>4</v>
      </c>
      <c r="O720">
        <v>2</v>
      </c>
      <c r="P720">
        <v>60</v>
      </c>
      <c r="Q720">
        <v>34</v>
      </c>
      <c r="R720">
        <v>34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34</v>
      </c>
      <c r="Z720">
        <v>0</v>
      </c>
      <c r="AA720">
        <v>0</v>
      </c>
      <c r="AC720">
        <v>94</v>
      </c>
    </row>
    <row r="721" spans="1:29">
      <c r="A721">
        <v>714</v>
      </c>
      <c r="B721">
        <v>3781</v>
      </c>
      <c r="C721" t="s">
        <v>1731</v>
      </c>
      <c r="D721" t="s">
        <v>98</v>
      </c>
      <c r="E721" t="s">
        <v>777</v>
      </c>
      <c r="F721" t="s">
        <v>1732</v>
      </c>
      <c r="G721" t="str">
        <f>"201511039833"</f>
        <v>201511039833</v>
      </c>
      <c r="H721">
        <v>36</v>
      </c>
      <c r="I721">
        <v>0</v>
      </c>
      <c r="J721">
        <v>8</v>
      </c>
      <c r="M721">
        <v>8</v>
      </c>
      <c r="N721">
        <v>4</v>
      </c>
      <c r="O721">
        <v>0</v>
      </c>
      <c r="P721">
        <v>48</v>
      </c>
      <c r="Q721">
        <v>46</v>
      </c>
      <c r="R721">
        <v>46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46</v>
      </c>
      <c r="Z721">
        <v>0</v>
      </c>
      <c r="AA721">
        <v>0</v>
      </c>
      <c r="AC721">
        <v>94</v>
      </c>
    </row>
    <row r="722" spans="1:29">
      <c r="A722">
        <v>715</v>
      </c>
      <c r="B722">
        <v>4829</v>
      </c>
      <c r="C722" t="s">
        <v>1733</v>
      </c>
      <c r="D722" t="s">
        <v>210</v>
      </c>
      <c r="E722" t="s">
        <v>18</v>
      </c>
      <c r="F722" t="s">
        <v>1734</v>
      </c>
      <c r="G722" t="str">
        <f>"00532656"</f>
        <v>00532656</v>
      </c>
      <c r="H722">
        <v>64.8</v>
      </c>
      <c r="I722">
        <v>0</v>
      </c>
      <c r="J722">
        <v>8</v>
      </c>
      <c r="M722">
        <v>8</v>
      </c>
      <c r="N722">
        <v>4</v>
      </c>
      <c r="O722">
        <v>0</v>
      </c>
      <c r="P722">
        <v>76.8</v>
      </c>
      <c r="Q722">
        <v>14</v>
      </c>
      <c r="R722">
        <v>14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14</v>
      </c>
      <c r="Z722">
        <v>3</v>
      </c>
      <c r="AA722">
        <v>0</v>
      </c>
      <c r="AC722">
        <v>93.8</v>
      </c>
    </row>
    <row r="723" spans="1:29">
      <c r="A723">
        <v>716</v>
      </c>
      <c r="B723">
        <v>4758</v>
      </c>
      <c r="C723" t="s">
        <v>1735</v>
      </c>
      <c r="D723" t="s">
        <v>739</v>
      </c>
      <c r="E723" t="s">
        <v>36</v>
      </c>
      <c r="F723" t="s">
        <v>1736</v>
      </c>
      <c r="G723" t="str">
        <f>"00163462"</f>
        <v>00163462</v>
      </c>
      <c r="H723">
        <v>28.8</v>
      </c>
      <c r="I723">
        <v>10</v>
      </c>
      <c r="L723">
        <v>4</v>
      </c>
      <c r="M723">
        <v>4</v>
      </c>
      <c r="N723">
        <v>4</v>
      </c>
      <c r="O723">
        <v>0</v>
      </c>
      <c r="P723">
        <v>46.8</v>
      </c>
      <c r="Q723">
        <v>44</v>
      </c>
      <c r="R723">
        <v>44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44</v>
      </c>
      <c r="Z723">
        <v>3</v>
      </c>
      <c r="AA723">
        <v>0</v>
      </c>
      <c r="AC723">
        <v>93.8</v>
      </c>
    </row>
    <row r="724" spans="1:29">
      <c r="A724">
        <v>717</v>
      </c>
      <c r="B724">
        <v>1098</v>
      </c>
      <c r="C724" t="s">
        <v>1737</v>
      </c>
      <c r="D724" t="s">
        <v>86</v>
      </c>
      <c r="E724" t="s">
        <v>224</v>
      </c>
      <c r="F724" t="s">
        <v>1738</v>
      </c>
      <c r="G724" t="str">
        <f>"00508911"</f>
        <v>00508911</v>
      </c>
      <c r="H724">
        <v>28.8</v>
      </c>
      <c r="I724">
        <v>0</v>
      </c>
      <c r="M724">
        <v>0</v>
      </c>
      <c r="N724">
        <v>0</v>
      </c>
      <c r="O724">
        <v>0</v>
      </c>
      <c r="P724">
        <v>28.8</v>
      </c>
      <c r="Q724">
        <v>65</v>
      </c>
      <c r="R724">
        <v>65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65</v>
      </c>
      <c r="Z724">
        <v>0</v>
      </c>
      <c r="AA724">
        <v>0</v>
      </c>
      <c r="AC724">
        <v>93.8</v>
      </c>
    </row>
    <row r="725" spans="1:29">
      <c r="A725">
        <v>718</v>
      </c>
      <c r="B725">
        <v>4186</v>
      </c>
      <c r="C725" t="s">
        <v>1739</v>
      </c>
      <c r="D725" t="s">
        <v>248</v>
      </c>
      <c r="E725" t="s">
        <v>122</v>
      </c>
      <c r="F725" t="s">
        <v>1740</v>
      </c>
      <c r="G725" t="str">
        <f>"00498640"</f>
        <v>00498640</v>
      </c>
      <c r="H725">
        <v>39.72</v>
      </c>
      <c r="I725">
        <v>0</v>
      </c>
      <c r="M725">
        <v>0</v>
      </c>
      <c r="N725">
        <v>4</v>
      </c>
      <c r="O725">
        <v>2</v>
      </c>
      <c r="P725">
        <v>45.72</v>
      </c>
      <c r="Q725">
        <v>36</v>
      </c>
      <c r="R725">
        <v>36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36</v>
      </c>
      <c r="Z725">
        <v>12</v>
      </c>
      <c r="AA725">
        <v>0</v>
      </c>
      <c r="AC725">
        <v>93.72</v>
      </c>
    </row>
    <row r="726" spans="1:29">
      <c r="A726">
        <v>719</v>
      </c>
      <c r="B726">
        <v>1802</v>
      </c>
      <c r="C726" t="s">
        <v>1741</v>
      </c>
      <c r="D726" t="s">
        <v>52</v>
      </c>
      <c r="E726" t="s">
        <v>122</v>
      </c>
      <c r="F726" t="s">
        <v>1742</v>
      </c>
      <c r="G726" t="str">
        <f>"00531009"</f>
        <v>00531009</v>
      </c>
      <c r="H726">
        <v>57.6</v>
      </c>
      <c r="I726">
        <v>0</v>
      </c>
      <c r="K726">
        <v>6</v>
      </c>
      <c r="M726">
        <v>6</v>
      </c>
      <c r="N726">
        <v>4</v>
      </c>
      <c r="O726">
        <v>2</v>
      </c>
      <c r="P726">
        <v>69.599999999999994</v>
      </c>
      <c r="Q726">
        <v>18</v>
      </c>
      <c r="R726">
        <v>18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18</v>
      </c>
      <c r="Z726">
        <v>6</v>
      </c>
      <c r="AA726">
        <v>0</v>
      </c>
      <c r="AC726">
        <v>93.6</v>
      </c>
    </row>
    <row r="727" spans="1:29">
      <c r="A727">
        <v>720</v>
      </c>
      <c r="B727">
        <v>4402</v>
      </c>
      <c r="C727" t="s">
        <v>1743</v>
      </c>
      <c r="D727" t="s">
        <v>1744</v>
      </c>
      <c r="E727" t="s">
        <v>36</v>
      </c>
      <c r="F727" t="s">
        <v>1745</v>
      </c>
      <c r="G727" t="str">
        <f>"00522949"</f>
        <v>00522949</v>
      </c>
      <c r="H727">
        <v>22.56</v>
      </c>
      <c r="I727">
        <v>0</v>
      </c>
      <c r="M727">
        <v>0</v>
      </c>
      <c r="N727">
        <v>0</v>
      </c>
      <c r="O727">
        <v>0</v>
      </c>
      <c r="P727">
        <v>22.56</v>
      </c>
      <c r="Q727">
        <v>65</v>
      </c>
      <c r="R727">
        <v>65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65</v>
      </c>
      <c r="Z727">
        <v>6</v>
      </c>
      <c r="AA727">
        <v>0</v>
      </c>
      <c r="AC727">
        <v>93.56</v>
      </c>
    </row>
    <row r="728" spans="1:29">
      <c r="A728">
        <v>721</v>
      </c>
      <c r="B728">
        <v>1204</v>
      </c>
      <c r="C728" t="s">
        <v>924</v>
      </c>
      <c r="D728" t="s">
        <v>159</v>
      </c>
      <c r="E728" t="s">
        <v>156</v>
      </c>
      <c r="F728" t="s">
        <v>1746</v>
      </c>
      <c r="G728" t="str">
        <f>"201511022467"</f>
        <v>201511022467</v>
      </c>
      <c r="H728">
        <v>37.08</v>
      </c>
      <c r="I728">
        <v>0</v>
      </c>
      <c r="K728">
        <v>6</v>
      </c>
      <c r="M728">
        <v>6</v>
      </c>
      <c r="N728">
        <v>4</v>
      </c>
      <c r="O728">
        <v>0</v>
      </c>
      <c r="P728">
        <v>47.08</v>
      </c>
      <c r="Q728">
        <v>17</v>
      </c>
      <c r="R728">
        <v>17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17</v>
      </c>
      <c r="Z728">
        <v>9</v>
      </c>
      <c r="AA728">
        <v>20.399999999999999</v>
      </c>
      <c r="AC728">
        <v>93.48</v>
      </c>
    </row>
    <row r="729" spans="1:29">
      <c r="A729">
        <v>722</v>
      </c>
      <c r="B729">
        <v>1387</v>
      </c>
      <c r="C729" t="s">
        <v>1747</v>
      </c>
      <c r="D729" t="s">
        <v>1748</v>
      </c>
      <c r="E729" t="s">
        <v>1749</v>
      </c>
      <c r="F729" t="s">
        <v>1750</v>
      </c>
      <c r="G729" t="str">
        <f>"00504944"</f>
        <v>00504944</v>
      </c>
      <c r="H729">
        <v>50.4</v>
      </c>
      <c r="I729">
        <v>10</v>
      </c>
      <c r="M729">
        <v>0</v>
      </c>
      <c r="N729">
        <v>4</v>
      </c>
      <c r="O729">
        <v>2</v>
      </c>
      <c r="P729">
        <v>66.400000000000006</v>
      </c>
      <c r="Q729">
        <v>27</v>
      </c>
      <c r="R729">
        <v>27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27</v>
      </c>
      <c r="Z729">
        <v>0</v>
      </c>
      <c r="AA729">
        <v>0</v>
      </c>
      <c r="AC729">
        <v>93.4</v>
      </c>
    </row>
    <row r="730" spans="1:29">
      <c r="A730">
        <v>723</v>
      </c>
      <c r="B730">
        <v>37</v>
      </c>
      <c r="C730" t="s">
        <v>1751</v>
      </c>
      <c r="D730" t="s">
        <v>27</v>
      </c>
      <c r="E730" t="s">
        <v>156</v>
      </c>
      <c r="F730" t="s">
        <v>1752</v>
      </c>
      <c r="G730" t="str">
        <f>"00531877"</f>
        <v>00531877</v>
      </c>
      <c r="H730">
        <v>50.4</v>
      </c>
      <c r="I730">
        <v>0</v>
      </c>
      <c r="L730">
        <v>4</v>
      </c>
      <c r="M730">
        <v>4</v>
      </c>
      <c r="N730">
        <v>4</v>
      </c>
      <c r="O730">
        <v>2</v>
      </c>
      <c r="P730">
        <v>60.4</v>
      </c>
      <c r="Q730">
        <v>33</v>
      </c>
      <c r="R730">
        <v>33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33</v>
      </c>
      <c r="Z730">
        <v>0</v>
      </c>
      <c r="AA730">
        <v>0</v>
      </c>
      <c r="AC730">
        <v>93.4</v>
      </c>
    </row>
    <row r="731" spans="1:29">
      <c r="A731">
        <v>724</v>
      </c>
      <c r="B731">
        <v>309</v>
      </c>
      <c r="C731" t="s">
        <v>1753</v>
      </c>
      <c r="D731" t="s">
        <v>24</v>
      </c>
      <c r="E731" t="s">
        <v>134</v>
      </c>
      <c r="F731" t="s">
        <v>1754</v>
      </c>
      <c r="G731" t="str">
        <f>"00515120"</f>
        <v>00515120</v>
      </c>
      <c r="H731">
        <v>20.36</v>
      </c>
      <c r="I731">
        <v>0</v>
      </c>
      <c r="M731">
        <v>0</v>
      </c>
      <c r="N731">
        <v>4</v>
      </c>
      <c r="O731">
        <v>0</v>
      </c>
      <c r="P731">
        <v>24.36</v>
      </c>
      <c r="Q731">
        <v>60</v>
      </c>
      <c r="R731">
        <v>60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60</v>
      </c>
      <c r="Z731">
        <v>9</v>
      </c>
      <c r="AA731">
        <v>0</v>
      </c>
      <c r="AC731">
        <v>93.36</v>
      </c>
    </row>
    <row r="732" spans="1:29">
      <c r="A732">
        <v>725</v>
      </c>
      <c r="B732">
        <v>4694</v>
      </c>
      <c r="C732" t="s">
        <v>316</v>
      </c>
      <c r="D732" t="s">
        <v>27</v>
      </c>
      <c r="E732" t="s">
        <v>1755</v>
      </c>
      <c r="F732" t="s">
        <v>1756</v>
      </c>
      <c r="G732" t="str">
        <f>"00504295"</f>
        <v>00504295</v>
      </c>
      <c r="H732">
        <v>37.32</v>
      </c>
      <c r="I732">
        <v>0</v>
      </c>
      <c r="M732">
        <v>0</v>
      </c>
      <c r="N732">
        <v>4</v>
      </c>
      <c r="O732">
        <v>2</v>
      </c>
      <c r="P732">
        <v>43.32</v>
      </c>
      <c r="Q732">
        <v>41</v>
      </c>
      <c r="R732">
        <v>41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41</v>
      </c>
      <c r="Z732">
        <v>9</v>
      </c>
      <c r="AA732">
        <v>0</v>
      </c>
      <c r="AC732">
        <v>93.32</v>
      </c>
    </row>
    <row r="733" spans="1:29">
      <c r="A733">
        <v>726</v>
      </c>
      <c r="B733">
        <v>1610</v>
      </c>
      <c r="C733" t="s">
        <v>1757</v>
      </c>
      <c r="D733" t="s">
        <v>52</v>
      </c>
      <c r="E733" t="s">
        <v>28</v>
      </c>
      <c r="F733" t="s">
        <v>1758</v>
      </c>
      <c r="G733" t="str">
        <f>"00153855"</f>
        <v>00153855</v>
      </c>
      <c r="H733">
        <v>43.2</v>
      </c>
      <c r="I733">
        <v>0</v>
      </c>
      <c r="L733">
        <v>4</v>
      </c>
      <c r="M733">
        <v>4</v>
      </c>
      <c r="N733">
        <v>4</v>
      </c>
      <c r="O733">
        <v>0</v>
      </c>
      <c r="P733">
        <v>51.2</v>
      </c>
      <c r="Q733">
        <v>36</v>
      </c>
      <c r="R733">
        <v>36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36</v>
      </c>
      <c r="Z733">
        <v>6</v>
      </c>
      <c r="AA733">
        <v>0</v>
      </c>
      <c r="AC733">
        <v>93.2</v>
      </c>
    </row>
    <row r="734" spans="1:29">
      <c r="A734">
        <v>727</v>
      </c>
      <c r="B734">
        <v>2159</v>
      </c>
      <c r="C734" t="s">
        <v>1759</v>
      </c>
      <c r="D734" t="s">
        <v>164</v>
      </c>
      <c r="E734" t="s">
        <v>292</v>
      </c>
      <c r="F734" t="s">
        <v>1760</v>
      </c>
      <c r="G734" t="str">
        <f>"00477841"</f>
        <v>00477841</v>
      </c>
      <c r="H734">
        <v>43.2</v>
      </c>
      <c r="I734">
        <v>0</v>
      </c>
      <c r="M734">
        <v>0</v>
      </c>
      <c r="N734">
        <v>0</v>
      </c>
      <c r="O734">
        <v>0</v>
      </c>
      <c r="P734">
        <v>43.2</v>
      </c>
      <c r="Q734">
        <v>44</v>
      </c>
      <c r="R734">
        <v>44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44</v>
      </c>
      <c r="Z734">
        <v>6</v>
      </c>
      <c r="AA734">
        <v>0</v>
      </c>
      <c r="AC734">
        <v>93.2</v>
      </c>
    </row>
    <row r="735" spans="1:29">
      <c r="A735">
        <v>728</v>
      </c>
      <c r="B735">
        <v>2322</v>
      </c>
      <c r="C735" t="s">
        <v>1761</v>
      </c>
      <c r="D735" t="s">
        <v>164</v>
      </c>
      <c r="E735" t="s">
        <v>18</v>
      </c>
      <c r="F735" t="s">
        <v>1762</v>
      </c>
      <c r="G735" t="str">
        <f>"00533568"</f>
        <v>00533568</v>
      </c>
      <c r="H735">
        <v>34.200000000000003</v>
      </c>
      <c r="I735">
        <v>0</v>
      </c>
      <c r="M735">
        <v>0</v>
      </c>
      <c r="N735">
        <v>0</v>
      </c>
      <c r="O735">
        <v>0</v>
      </c>
      <c r="P735">
        <v>34.200000000000003</v>
      </c>
      <c r="Q735">
        <v>59</v>
      </c>
      <c r="R735">
        <v>59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59</v>
      </c>
      <c r="Z735">
        <v>0</v>
      </c>
      <c r="AA735">
        <v>0</v>
      </c>
      <c r="AC735">
        <v>93.2</v>
      </c>
    </row>
    <row r="736" spans="1:29">
      <c r="A736">
        <v>729</v>
      </c>
      <c r="B736">
        <v>4220</v>
      </c>
      <c r="C736" t="s">
        <v>1763</v>
      </c>
      <c r="D736" t="s">
        <v>27</v>
      </c>
      <c r="E736" t="s">
        <v>122</v>
      </c>
      <c r="F736" t="s">
        <v>1764</v>
      </c>
      <c r="G736" t="str">
        <f>"00507124"</f>
        <v>00507124</v>
      </c>
      <c r="H736">
        <v>31.08</v>
      </c>
      <c r="I736">
        <v>10</v>
      </c>
      <c r="M736">
        <v>0</v>
      </c>
      <c r="N736">
        <v>0</v>
      </c>
      <c r="O736">
        <v>0</v>
      </c>
      <c r="P736">
        <v>41.08</v>
      </c>
      <c r="Q736">
        <v>52</v>
      </c>
      <c r="R736">
        <v>52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52</v>
      </c>
      <c r="Z736">
        <v>0</v>
      </c>
      <c r="AA736">
        <v>0</v>
      </c>
      <c r="AC736">
        <v>93.08</v>
      </c>
    </row>
    <row r="737" spans="1:29">
      <c r="A737">
        <v>730</v>
      </c>
      <c r="B737">
        <v>1437</v>
      </c>
      <c r="C737" t="s">
        <v>1765</v>
      </c>
      <c r="D737" t="s">
        <v>31</v>
      </c>
      <c r="E737" t="s">
        <v>77</v>
      </c>
      <c r="F737" t="s">
        <v>1766</v>
      </c>
      <c r="G737" t="str">
        <f>"201109000041"</f>
        <v>201109000041</v>
      </c>
      <c r="H737">
        <v>36</v>
      </c>
      <c r="I737">
        <v>0</v>
      </c>
      <c r="L737">
        <v>4</v>
      </c>
      <c r="M737">
        <v>4</v>
      </c>
      <c r="N737">
        <v>4</v>
      </c>
      <c r="O737">
        <v>2</v>
      </c>
      <c r="P737">
        <v>46</v>
      </c>
      <c r="Q737">
        <v>41</v>
      </c>
      <c r="R737">
        <v>41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41</v>
      </c>
      <c r="Z737">
        <v>6</v>
      </c>
      <c r="AA737">
        <v>0</v>
      </c>
      <c r="AC737">
        <v>93</v>
      </c>
    </row>
    <row r="738" spans="1:29">
      <c r="A738">
        <v>731</v>
      </c>
      <c r="B738">
        <v>3757</v>
      </c>
      <c r="C738" t="s">
        <v>1767</v>
      </c>
      <c r="D738" t="s">
        <v>130</v>
      </c>
      <c r="E738" t="s">
        <v>79</v>
      </c>
      <c r="F738" t="s">
        <v>1768</v>
      </c>
      <c r="G738" t="str">
        <f>"00508839"</f>
        <v>00508839</v>
      </c>
      <c r="H738">
        <v>20</v>
      </c>
      <c r="I738">
        <v>0</v>
      </c>
      <c r="L738">
        <v>4</v>
      </c>
      <c r="M738">
        <v>4</v>
      </c>
      <c r="N738">
        <v>4</v>
      </c>
      <c r="O738">
        <v>0</v>
      </c>
      <c r="P738">
        <v>28</v>
      </c>
      <c r="Q738">
        <v>59</v>
      </c>
      <c r="R738">
        <v>59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59</v>
      </c>
      <c r="Z738">
        <v>6</v>
      </c>
      <c r="AA738">
        <v>0</v>
      </c>
      <c r="AC738">
        <v>93</v>
      </c>
    </row>
    <row r="739" spans="1:29">
      <c r="A739">
        <v>732</v>
      </c>
      <c r="B739">
        <v>3865</v>
      </c>
      <c r="C739" t="s">
        <v>1769</v>
      </c>
      <c r="D739" t="s">
        <v>52</v>
      </c>
      <c r="E739" t="s">
        <v>79</v>
      </c>
      <c r="F739" t="s">
        <v>1770</v>
      </c>
      <c r="G739" t="str">
        <f>"00508242"</f>
        <v>00508242</v>
      </c>
      <c r="H739">
        <v>36</v>
      </c>
      <c r="I739">
        <v>0</v>
      </c>
      <c r="L739">
        <v>4</v>
      </c>
      <c r="M739">
        <v>4</v>
      </c>
      <c r="N739">
        <v>4</v>
      </c>
      <c r="O739">
        <v>0</v>
      </c>
      <c r="P739">
        <v>44</v>
      </c>
      <c r="Q739">
        <v>46</v>
      </c>
      <c r="R739">
        <v>46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46</v>
      </c>
      <c r="Z739">
        <v>3</v>
      </c>
      <c r="AA739">
        <v>0</v>
      </c>
      <c r="AC739">
        <v>93</v>
      </c>
    </row>
    <row r="740" spans="1:29">
      <c r="A740">
        <v>733</v>
      </c>
      <c r="B740">
        <v>582</v>
      </c>
      <c r="C740" t="s">
        <v>1771</v>
      </c>
      <c r="D740" t="s">
        <v>784</v>
      </c>
      <c r="E740" t="s">
        <v>79</v>
      </c>
      <c r="F740" t="s">
        <v>1772</v>
      </c>
      <c r="G740" t="str">
        <f>"00481411"</f>
        <v>00481411</v>
      </c>
      <c r="H740">
        <v>36</v>
      </c>
      <c r="I740">
        <v>0</v>
      </c>
      <c r="J740">
        <v>8</v>
      </c>
      <c r="M740">
        <v>8</v>
      </c>
      <c r="N740">
        <v>4</v>
      </c>
      <c r="O740">
        <v>2</v>
      </c>
      <c r="P740">
        <v>50</v>
      </c>
      <c r="Q740">
        <v>27</v>
      </c>
      <c r="R740">
        <v>27</v>
      </c>
      <c r="S740">
        <v>8</v>
      </c>
      <c r="T740">
        <v>16</v>
      </c>
      <c r="U740">
        <v>0</v>
      </c>
      <c r="V740">
        <v>0</v>
      </c>
      <c r="W740">
        <v>0</v>
      </c>
      <c r="X740">
        <v>0</v>
      </c>
      <c r="Y740">
        <v>43</v>
      </c>
      <c r="Z740">
        <v>0</v>
      </c>
      <c r="AA740">
        <v>0</v>
      </c>
      <c r="AC740">
        <v>93</v>
      </c>
    </row>
    <row r="741" spans="1:29">
      <c r="A741">
        <v>734</v>
      </c>
      <c r="B741">
        <v>515</v>
      </c>
      <c r="C741" t="s">
        <v>1773</v>
      </c>
      <c r="D741" t="s">
        <v>39</v>
      </c>
      <c r="E741" t="s">
        <v>187</v>
      </c>
      <c r="F741" t="s">
        <v>1774</v>
      </c>
      <c r="G741" t="str">
        <f>"00513829"</f>
        <v>00513829</v>
      </c>
      <c r="H741">
        <v>24.84</v>
      </c>
      <c r="I741">
        <v>0</v>
      </c>
      <c r="M741">
        <v>0</v>
      </c>
      <c r="N741">
        <v>0</v>
      </c>
      <c r="O741">
        <v>0</v>
      </c>
      <c r="P741">
        <v>24.84</v>
      </c>
      <c r="Q741">
        <v>68</v>
      </c>
      <c r="R741">
        <v>68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68</v>
      </c>
      <c r="Z741">
        <v>0</v>
      </c>
      <c r="AA741">
        <v>0</v>
      </c>
      <c r="AC741">
        <v>92.84</v>
      </c>
    </row>
    <row r="742" spans="1:29">
      <c r="A742">
        <v>735</v>
      </c>
      <c r="B742">
        <v>3223</v>
      </c>
      <c r="C742" t="s">
        <v>1777</v>
      </c>
      <c r="D742" t="s">
        <v>31</v>
      </c>
      <c r="E742" t="s">
        <v>79</v>
      </c>
      <c r="F742" t="s">
        <v>1778</v>
      </c>
      <c r="G742" t="str">
        <f>"00016358"</f>
        <v>00016358</v>
      </c>
      <c r="H742">
        <v>64.8</v>
      </c>
      <c r="I742">
        <v>10</v>
      </c>
      <c r="L742">
        <v>8</v>
      </c>
      <c r="M742">
        <v>8</v>
      </c>
      <c r="N742">
        <v>4</v>
      </c>
      <c r="O742">
        <v>0</v>
      </c>
      <c r="P742">
        <v>86.8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6</v>
      </c>
      <c r="AA742">
        <v>0</v>
      </c>
      <c r="AC742">
        <v>92.8</v>
      </c>
    </row>
    <row r="743" spans="1:29">
      <c r="A743">
        <v>736</v>
      </c>
      <c r="B743">
        <v>632</v>
      </c>
      <c r="C743" t="s">
        <v>1775</v>
      </c>
      <c r="D743" t="s">
        <v>336</v>
      </c>
      <c r="E743" t="s">
        <v>79</v>
      </c>
      <c r="F743" t="s">
        <v>1776</v>
      </c>
      <c r="G743" t="str">
        <f>"00600545"</f>
        <v>00600545</v>
      </c>
      <c r="H743">
        <v>64.8</v>
      </c>
      <c r="I743">
        <v>0</v>
      </c>
      <c r="J743">
        <v>16</v>
      </c>
      <c r="M743">
        <v>16</v>
      </c>
      <c r="N743">
        <v>4</v>
      </c>
      <c r="O743">
        <v>2</v>
      </c>
      <c r="P743">
        <v>86.8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6</v>
      </c>
      <c r="AA743">
        <v>0</v>
      </c>
      <c r="AC743">
        <v>92.8</v>
      </c>
    </row>
    <row r="744" spans="1:29">
      <c r="A744">
        <v>737</v>
      </c>
      <c r="B744">
        <v>841</v>
      </c>
      <c r="C744" t="s">
        <v>1779</v>
      </c>
      <c r="D744" t="s">
        <v>27</v>
      </c>
      <c r="E744" t="s">
        <v>15</v>
      </c>
      <c r="F744" t="s">
        <v>1780</v>
      </c>
      <c r="G744" t="str">
        <f>"00163602"</f>
        <v>00163602</v>
      </c>
      <c r="H744">
        <v>28.8</v>
      </c>
      <c r="I744">
        <v>0</v>
      </c>
      <c r="J744">
        <v>8</v>
      </c>
      <c r="M744">
        <v>8</v>
      </c>
      <c r="N744">
        <v>4</v>
      </c>
      <c r="O744">
        <v>2</v>
      </c>
      <c r="P744">
        <v>42.8</v>
      </c>
      <c r="Q744">
        <v>47</v>
      </c>
      <c r="R744">
        <v>47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47</v>
      </c>
      <c r="Z744">
        <v>3</v>
      </c>
      <c r="AA744">
        <v>0</v>
      </c>
      <c r="AC744">
        <v>92.8</v>
      </c>
    </row>
    <row r="745" spans="1:29">
      <c r="A745">
        <v>738</v>
      </c>
      <c r="B745">
        <v>1567</v>
      </c>
      <c r="C745" t="s">
        <v>1781</v>
      </c>
      <c r="D745" t="s">
        <v>27</v>
      </c>
      <c r="E745" t="s">
        <v>32</v>
      </c>
      <c r="F745" t="s">
        <v>1782</v>
      </c>
      <c r="G745" t="str">
        <f>"00500410"</f>
        <v>00500410</v>
      </c>
      <c r="H745">
        <v>64.8</v>
      </c>
      <c r="I745">
        <v>10</v>
      </c>
      <c r="J745">
        <v>8</v>
      </c>
      <c r="K745">
        <v>6</v>
      </c>
      <c r="M745">
        <v>14</v>
      </c>
      <c r="N745">
        <v>4</v>
      </c>
      <c r="O745">
        <v>0</v>
      </c>
      <c r="P745">
        <v>92.8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C745">
        <v>92.8</v>
      </c>
    </row>
    <row r="746" spans="1:29">
      <c r="A746">
        <v>739</v>
      </c>
      <c r="B746">
        <v>776</v>
      </c>
      <c r="C746" t="s">
        <v>1783</v>
      </c>
      <c r="D746" t="s">
        <v>159</v>
      </c>
      <c r="E746" t="s">
        <v>134</v>
      </c>
      <c r="F746" t="s">
        <v>1784</v>
      </c>
      <c r="G746" t="str">
        <f>"00255049"</f>
        <v>00255049</v>
      </c>
      <c r="H746">
        <v>64.8</v>
      </c>
      <c r="I746">
        <v>0</v>
      </c>
      <c r="K746">
        <v>6</v>
      </c>
      <c r="M746">
        <v>6</v>
      </c>
      <c r="N746">
        <v>4</v>
      </c>
      <c r="O746">
        <v>0</v>
      </c>
      <c r="P746">
        <v>74.8</v>
      </c>
      <c r="Q746">
        <v>18</v>
      </c>
      <c r="R746">
        <v>18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18</v>
      </c>
      <c r="Z746">
        <v>0</v>
      </c>
      <c r="AA746">
        <v>0</v>
      </c>
      <c r="AC746">
        <v>92.8</v>
      </c>
    </row>
    <row r="747" spans="1:29">
      <c r="A747">
        <v>740</v>
      </c>
      <c r="B747">
        <v>4719</v>
      </c>
      <c r="C747" t="s">
        <v>1785</v>
      </c>
      <c r="D747" t="s">
        <v>1786</v>
      </c>
      <c r="E747" t="s">
        <v>122</v>
      </c>
      <c r="F747" t="s">
        <v>1787</v>
      </c>
      <c r="G747" t="str">
        <f>"00490829"</f>
        <v>00490829</v>
      </c>
      <c r="H747">
        <v>28.8</v>
      </c>
      <c r="I747">
        <v>10</v>
      </c>
      <c r="M747">
        <v>0</v>
      </c>
      <c r="N747">
        <v>0</v>
      </c>
      <c r="O747">
        <v>0</v>
      </c>
      <c r="P747">
        <v>38.799999999999997</v>
      </c>
      <c r="Q747">
        <v>54</v>
      </c>
      <c r="R747">
        <v>54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54</v>
      </c>
      <c r="Z747">
        <v>0</v>
      </c>
      <c r="AA747">
        <v>0</v>
      </c>
      <c r="AC747">
        <v>92.8</v>
      </c>
    </row>
    <row r="748" spans="1:29">
      <c r="A748">
        <v>741</v>
      </c>
      <c r="B748">
        <v>1363</v>
      </c>
      <c r="C748" t="s">
        <v>1788</v>
      </c>
      <c r="D748" t="s">
        <v>170</v>
      </c>
      <c r="E748" t="s">
        <v>28</v>
      </c>
      <c r="F748" t="s">
        <v>1789</v>
      </c>
      <c r="G748" t="str">
        <f>"00081206"</f>
        <v>00081206</v>
      </c>
      <c r="H748">
        <v>39.6</v>
      </c>
      <c r="I748">
        <v>10</v>
      </c>
      <c r="L748">
        <v>4</v>
      </c>
      <c r="M748">
        <v>4</v>
      </c>
      <c r="N748">
        <v>4</v>
      </c>
      <c r="O748">
        <v>0</v>
      </c>
      <c r="P748">
        <v>57.6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3</v>
      </c>
      <c r="AA748">
        <v>32</v>
      </c>
      <c r="AC748">
        <v>92.6</v>
      </c>
    </row>
    <row r="749" spans="1:29">
      <c r="A749">
        <v>742</v>
      </c>
      <c r="B749">
        <v>1409</v>
      </c>
      <c r="C749" t="s">
        <v>1790</v>
      </c>
      <c r="D749" t="s">
        <v>170</v>
      </c>
      <c r="E749" t="s">
        <v>18</v>
      </c>
      <c r="F749" t="s">
        <v>1791</v>
      </c>
      <c r="G749" t="str">
        <f>"00528554"</f>
        <v>00528554</v>
      </c>
      <c r="H749">
        <v>57.6</v>
      </c>
      <c r="I749">
        <v>0</v>
      </c>
      <c r="J749">
        <v>8</v>
      </c>
      <c r="M749">
        <v>8</v>
      </c>
      <c r="N749">
        <v>4</v>
      </c>
      <c r="O749">
        <v>2</v>
      </c>
      <c r="P749">
        <v>71.599999999999994</v>
      </c>
      <c r="Q749">
        <v>18</v>
      </c>
      <c r="R749">
        <v>18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18</v>
      </c>
      <c r="Z749">
        <v>3</v>
      </c>
      <c r="AA749">
        <v>0</v>
      </c>
      <c r="AC749">
        <v>92.6</v>
      </c>
    </row>
    <row r="750" spans="1:29">
      <c r="A750">
        <v>743</v>
      </c>
      <c r="B750">
        <v>3174</v>
      </c>
      <c r="C750" t="s">
        <v>1792</v>
      </c>
      <c r="D750" t="s">
        <v>167</v>
      </c>
      <c r="E750" t="s">
        <v>745</v>
      </c>
      <c r="F750" t="s">
        <v>1793</v>
      </c>
      <c r="G750" t="str">
        <f>"00017432"</f>
        <v>00017432</v>
      </c>
      <c r="H750">
        <v>33.6</v>
      </c>
      <c r="I750">
        <v>0</v>
      </c>
      <c r="M750">
        <v>0</v>
      </c>
      <c r="N750">
        <v>4</v>
      </c>
      <c r="O750">
        <v>2</v>
      </c>
      <c r="P750">
        <v>39.6</v>
      </c>
      <c r="Q750">
        <v>50</v>
      </c>
      <c r="R750">
        <v>50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50</v>
      </c>
      <c r="Z750">
        <v>3</v>
      </c>
      <c r="AA750">
        <v>0</v>
      </c>
      <c r="AC750">
        <v>92.6</v>
      </c>
    </row>
    <row r="751" spans="1:29">
      <c r="A751">
        <v>744</v>
      </c>
      <c r="B751">
        <v>4310</v>
      </c>
      <c r="C751" t="s">
        <v>1794</v>
      </c>
      <c r="D751" t="s">
        <v>1795</v>
      </c>
      <c r="E751" t="s">
        <v>15</v>
      </c>
      <c r="F751" t="s">
        <v>1796</v>
      </c>
      <c r="G751" t="str">
        <f>"00497289"</f>
        <v>00497289</v>
      </c>
      <c r="H751">
        <v>21.6</v>
      </c>
      <c r="I751">
        <v>0</v>
      </c>
      <c r="J751">
        <v>8</v>
      </c>
      <c r="M751">
        <v>8</v>
      </c>
      <c r="N751">
        <v>4</v>
      </c>
      <c r="O751">
        <v>2</v>
      </c>
      <c r="P751">
        <v>35.6</v>
      </c>
      <c r="Q751">
        <v>54</v>
      </c>
      <c r="R751">
        <v>54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54</v>
      </c>
      <c r="Z751">
        <v>3</v>
      </c>
      <c r="AA751">
        <v>0</v>
      </c>
      <c r="AC751">
        <v>92.6</v>
      </c>
    </row>
    <row r="752" spans="1:29">
      <c r="A752">
        <v>745</v>
      </c>
      <c r="B752">
        <v>4000</v>
      </c>
      <c r="C752" t="s">
        <v>1256</v>
      </c>
      <c r="D752" t="s">
        <v>465</v>
      </c>
      <c r="E752" t="s">
        <v>18</v>
      </c>
      <c r="F752" t="s">
        <v>1797</v>
      </c>
      <c r="G752" t="str">
        <f>"201512000915"</f>
        <v>201512000915</v>
      </c>
      <c r="H752">
        <v>21.6</v>
      </c>
      <c r="I752">
        <v>0</v>
      </c>
      <c r="J752">
        <v>8</v>
      </c>
      <c r="M752">
        <v>8</v>
      </c>
      <c r="N752">
        <v>4</v>
      </c>
      <c r="O752">
        <v>2</v>
      </c>
      <c r="P752">
        <v>35.6</v>
      </c>
      <c r="Q752">
        <v>57</v>
      </c>
      <c r="R752">
        <v>57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57</v>
      </c>
      <c r="Z752">
        <v>0</v>
      </c>
      <c r="AA752">
        <v>0</v>
      </c>
      <c r="AC752">
        <v>92.6</v>
      </c>
    </row>
    <row r="753" spans="1:29">
      <c r="A753">
        <v>746</v>
      </c>
      <c r="B753">
        <v>3316</v>
      </c>
      <c r="C753" t="s">
        <v>1798</v>
      </c>
      <c r="D753" t="s">
        <v>301</v>
      </c>
      <c r="E753" t="s">
        <v>32</v>
      </c>
      <c r="F753" t="s">
        <v>1799</v>
      </c>
      <c r="G753" t="str">
        <f>"201406007214"</f>
        <v>201406007214</v>
      </c>
      <c r="H753">
        <v>14.4</v>
      </c>
      <c r="I753">
        <v>10</v>
      </c>
      <c r="L753">
        <v>4</v>
      </c>
      <c r="M753">
        <v>4</v>
      </c>
      <c r="N753">
        <v>4</v>
      </c>
      <c r="O753">
        <v>2</v>
      </c>
      <c r="P753">
        <v>34.4</v>
      </c>
      <c r="Q753">
        <v>35</v>
      </c>
      <c r="R753">
        <v>35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35</v>
      </c>
      <c r="Z753">
        <v>3</v>
      </c>
      <c r="AA753">
        <v>20</v>
      </c>
      <c r="AC753">
        <v>92.4</v>
      </c>
    </row>
    <row r="754" spans="1:29">
      <c r="A754">
        <v>747</v>
      </c>
      <c r="B754">
        <v>3993</v>
      </c>
      <c r="C754" t="s">
        <v>1800</v>
      </c>
      <c r="D754" t="s">
        <v>1801</v>
      </c>
      <c r="E754" t="s">
        <v>922</v>
      </c>
      <c r="F754" t="s">
        <v>1802</v>
      </c>
      <c r="G754" t="str">
        <f>"00508961"</f>
        <v>00508961</v>
      </c>
      <c r="H754">
        <v>50.4</v>
      </c>
      <c r="I754">
        <v>10</v>
      </c>
      <c r="J754">
        <v>8</v>
      </c>
      <c r="M754">
        <v>8</v>
      </c>
      <c r="N754">
        <v>4</v>
      </c>
      <c r="O754">
        <v>2</v>
      </c>
      <c r="P754">
        <v>74.400000000000006</v>
      </c>
      <c r="Q754">
        <v>18</v>
      </c>
      <c r="R754">
        <v>18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18</v>
      </c>
      <c r="Z754">
        <v>0</v>
      </c>
      <c r="AA754">
        <v>0</v>
      </c>
      <c r="AC754">
        <v>92.4</v>
      </c>
    </row>
    <row r="755" spans="1:29">
      <c r="A755">
        <v>748</v>
      </c>
      <c r="B755">
        <v>2760</v>
      </c>
      <c r="C755" t="s">
        <v>178</v>
      </c>
      <c r="D755" t="s">
        <v>98</v>
      </c>
      <c r="E755" t="s">
        <v>134</v>
      </c>
      <c r="F755" t="s">
        <v>1803</v>
      </c>
      <c r="G755" t="str">
        <f>"00531631"</f>
        <v>00531631</v>
      </c>
      <c r="H755">
        <v>50.4</v>
      </c>
      <c r="I755">
        <v>0</v>
      </c>
      <c r="J755">
        <v>8</v>
      </c>
      <c r="M755">
        <v>8</v>
      </c>
      <c r="N755">
        <v>4</v>
      </c>
      <c r="O755">
        <v>2</v>
      </c>
      <c r="P755">
        <v>64.400000000000006</v>
      </c>
      <c r="Q755">
        <v>28</v>
      </c>
      <c r="R755">
        <v>28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28</v>
      </c>
      <c r="Z755">
        <v>0</v>
      </c>
      <c r="AA755">
        <v>0</v>
      </c>
      <c r="AC755">
        <v>92.4</v>
      </c>
    </row>
    <row r="756" spans="1:29">
      <c r="A756">
        <v>749</v>
      </c>
      <c r="B756">
        <v>626</v>
      </c>
      <c r="C756" t="s">
        <v>1804</v>
      </c>
      <c r="D756" t="s">
        <v>108</v>
      </c>
      <c r="E756" t="s">
        <v>18</v>
      </c>
      <c r="F756" t="s">
        <v>1805</v>
      </c>
      <c r="G756" t="str">
        <f>"00526948"</f>
        <v>00526948</v>
      </c>
      <c r="H756">
        <v>14.4</v>
      </c>
      <c r="I756">
        <v>0</v>
      </c>
      <c r="L756">
        <v>4</v>
      </c>
      <c r="M756">
        <v>4</v>
      </c>
      <c r="N756">
        <v>4</v>
      </c>
      <c r="O756">
        <v>2</v>
      </c>
      <c r="P756">
        <v>24.4</v>
      </c>
      <c r="Q756">
        <v>68</v>
      </c>
      <c r="R756">
        <v>68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68</v>
      </c>
      <c r="Z756">
        <v>0</v>
      </c>
      <c r="AA756">
        <v>0</v>
      </c>
      <c r="AC756">
        <v>92.4</v>
      </c>
    </row>
    <row r="757" spans="1:29">
      <c r="A757">
        <v>750</v>
      </c>
      <c r="B757">
        <v>4492</v>
      </c>
      <c r="C757" t="s">
        <v>1806</v>
      </c>
      <c r="D757" t="s">
        <v>1598</v>
      </c>
      <c r="E757" t="s">
        <v>1807</v>
      </c>
      <c r="F757" t="s">
        <v>1808</v>
      </c>
      <c r="G757" t="str">
        <f>"00530053"</f>
        <v>00530053</v>
      </c>
      <c r="H757">
        <v>34.24</v>
      </c>
      <c r="I757">
        <v>10</v>
      </c>
      <c r="L757">
        <v>4</v>
      </c>
      <c r="M757">
        <v>4</v>
      </c>
      <c r="N757">
        <v>4</v>
      </c>
      <c r="O757">
        <v>0</v>
      </c>
      <c r="P757">
        <v>52.24</v>
      </c>
      <c r="Q757">
        <v>34</v>
      </c>
      <c r="R757">
        <v>34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34</v>
      </c>
      <c r="Z757">
        <v>6</v>
      </c>
      <c r="AA757">
        <v>0</v>
      </c>
      <c r="AC757">
        <v>92.24</v>
      </c>
    </row>
    <row r="758" spans="1:29">
      <c r="A758">
        <v>751</v>
      </c>
      <c r="B758">
        <v>310</v>
      </c>
      <c r="C758" t="s">
        <v>1809</v>
      </c>
      <c r="D758" t="s">
        <v>1810</v>
      </c>
      <c r="E758" t="s">
        <v>36</v>
      </c>
      <c r="F758" t="s">
        <v>1811</v>
      </c>
      <c r="G758" t="str">
        <f>"00390555"</f>
        <v>00390555</v>
      </c>
      <c r="H758">
        <v>43.2</v>
      </c>
      <c r="I758">
        <v>0</v>
      </c>
      <c r="L758">
        <v>4</v>
      </c>
      <c r="M758">
        <v>4</v>
      </c>
      <c r="N758">
        <v>4</v>
      </c>
      <c r="O758">
        <v>0</v>
      </c>
      <c r="P758">
        <v>51.2</v>
      </c>
      <c r="Q758">
        <v>32</v>
      </c>
      <c r="R758">
        <v>32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32</v>
      </c>
      <c r="Z758">
        <v>9</v>
      </c>
      <c r="AA758">
        <v>0</v>
      </c>
      <c r="AC758">
        <v>92.2</v>
      </c>
    </row>
    <row r="759" spans="1:29">
      <c r="A759">
        <v>752</v>
      </c>
      <c r="B759">
        <v>1473</v>
      </c>
      <c r="C759" t="s">
        <v>1812</v>
      </c>
      <c r="D759" t="s">
        <v>147</v>
      </c>
      <c r="E759" t="s">
        <v>1813</v>
      </c>
      <c r="F759" t="s">
        <v>1814</v>
      </c>
      <c r="G759" t="str">
        <f>"200909000117"</f>
        <v>200909000117</v>
      </c>
      <c r="H759">
        <v>43.2</v>
      </c>
      <c r="I759">
        <v>0</v>
      </c>
      <c r="K759">
        <v>12</v>
      </c>
      <c r="M759">
        <v>12</v>
      </c>
      <c r="N759">
        <v>4</v>
      </c>
      <c r="O759">
        <v>2</v>
      </c>
      <c r="P759">
        <v>61.2</v>
      </c>
      <c r="Q759">
        <v>28</v>
      </c>
      <c r="R759">
        <v>28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28</v>
      </c>
      <c r="Z759">
        <v>3</v>
      </c>
      <c r="AA759">
        <v>0</v>
      </c>
      <c r="AC759">
        <v>92.2</v>
      </c>
    </row>
    <row r="760" spans="1:29">
      <c r="A760">
        <v>753</v>
      </c>
      <c r="B760">
        <v>2193</v>
      </c>
      <c r="C760" t="s">
        <v>1815</v>
      </c>
      <c r="D760" t="s">
        <v>1816</v>
      </c>
      <c r="E760" t="s">
        <v>337</v>
      </c>
      <c r="F760" t="s">
        <v>1817</v>
      </c>
      <c r="G760" t="str">
        <f>"00532615"</f>
        <v>00532615</v>
      </c>
      <c r="H760">
        <v>43.2</v>
      </c>
      <c r="I760">
        <v>0</v>
      </c>
      <c r="M760">
        <v>0</v>
      </c>
      <c r="N760">
        <v>0</v>
      </c>
      <c r="O760">
        <v>0</v>
      </c>
      <c r="P760">
        <v>43.2</v>
      </c>
      <c r="Q760">
        <v>46</v>
      </c>
      <c r="R760">
        <v>46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46</v>
      </c>
      <c r="Z760">
        <v>3</v>
      </c>
      <c r="AA760">
        <v>0</v>
      </c>
      <c r="AC760">
        <v>92.2</v>
      </c>
    </row>
    <row r="761" spans="1:29">
      <c r="A761">
        <v>754</v>
      </c>
      <c r="B761">
        <v>4732</v>
      </c>
      <c r="C761" t="s">
        <v>1818</v>
      </c>
      <c r="D761" t="s">
        <v>141</v>
      </c>
      <c r="E761" t="s">
        <v>777</v>
      </c>
      <c r="F761" t="s">
        <v>1819</v>
      </c>
      <c r="G761" t="str">
        <f>"00508556"</f>
        <v>00508556</v>
      </c>
      <c r="H761">
        <v>43.2</v>
      </c>
      <c r="I761">
        <v>0</v>
      </c>
      <c r="J761">
        <v>8</v>
      </c>
      <c r="M761">
        <v>8</v>
      </c>
      <c r="N761">
        <v>4</v>
      </c>
      <c r="O761">
        <v>2</v>
      </c>
      <c r="P761">
        <v>57.2</v>
      </c>
      <c r="Q761">
        <v>35</v>
      </c>
      <c r="R761">
        <v>35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35</v>
      </c>
      <c r="Z761">
        <v>0</v>
      </c>
      <c r="AA761">
        <v>0</v>
      </c>
      <c r="AC761">
        <v>92.2</v>
      </c>
    </row>
    <row r="762" spans="1:29">
      <c r="A762">
        <v>755</v>
      </c>
      <c r="B762">
        <v>3613</v>
      </c>
      <c r="C762" t="s">
        <v>1820</v>
      </c>
      <c r="D762" t="s">
        <v>1821</v>
      </c>
      <c r="E762" t="s">
        <v>187</v>
      </c>
      <c r="F762" t="s">
        <v>1822</v>
      </c>
      <c r="G762" t="str">
        <f>"00533470"</f>
        <v>00533470</v>
      </c>
      <c r="H762">
        <v>7.2</v>
      </c>
      <c r="I762">
        <v>0</v>
      </c>
      <c r="M762">
        <v>0</v>
      </c>
      <c r="N762">
        <v>4</v>
      </c>
      <c r="O762">
        <v>2</v>
      </c>
      <c r="P762">
        <v>13.2</v>
      </c>
      <c r="Q762">
        <v>79</v>
      </c>
      <c r="R762">
        <v>79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79</v>
      </c>
      <c r="Z762">
        <v>0</v>
      </c>
      <c r="AA762">
        <v>0</v>
      </c>
      <c r="AC762">
        <v>92.2</v>
      </c>
    </row>
    <row r="763" spans="1:29">
      <c r="A763">
        <v>756</v>
      </c>
      <c r="B763">
        <v>1516</v>
      </c>
      <c r="C763" t="s">
        <v>1823</v>
      </c>
      <c r="D763" t="s">
        <v>1824</v>
      </c>
      <c r="E763" t="s">
        <v>36</v>
      </c>
      <c r="F763" t="s">
        <v>1825</v>
      </c>
      <c r="G763" t="str">
        <f>"200802002398"</f>
        <v>200802002398</v>
      </c>
      <c r="H763">
        <v>39.119999999999997</v>
      </c>
      <c r="I763">
        <v>0</v>
      </c>
      <c r="J763">
        <v>8</v>
      </c>
      <c r="L763">
        <v>4</v>
      </c>
      <c r="M763">
        <v>12</v>
      </c>
      <c r="N763">
        <v>4</v>
      </c>
      <c r="O763">
        <v>0</v>
      </c>
      <c r="P763">
        <v>55.12</v>
      </c>
      <c r="Q763">
        <v>31</v>
      </c>
      <c r="R763">
        <v>31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31</v>
      </c>
      <c r="Z763">
        <v>6</v>
      </c>
      <c r="AA763">
        <v>0</v>
      </c>
      <c r="AC763">
        <v>92.12</v>
      </c>
    </row>
    <row r="764" spans="1:29">
      <c r="A764">
        <v>757</v>
      </c>
      <c r="B764">
        <v>3495</v>
      </c>
      <c r="C764" t="s">
        <v>1826</v>
      </c>
      <c r="D764" t="s">
        <v>39</v>
      </c>
      <c r="E764" t="s">
        <v>28</v>
      </c>
      <c r="F764" t="s">
        <v>1827</v>
      </c>
      <c r="G764" t="str">
        <f>"00441890"</f>
        <v>00441890</v>
      </c>
      <c r="H764">
        <v>33.08</v>
      </c>
      <c r="I764">
        <v>0</v>
      </c>
      <c r="M764">
        <v>0</v>
      </c>
      <c r="N764">
        <v>4</v>
      </c>
      <c r="O764">
        <v>0</v>
      </c>
      <c r="P764">
        <v>37.08</v>
      </c>
      <c r="Q764">
        <v>55</v>
      </c>
      <c r="R764">
        <v>55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55</v>
      </c>
      <c r="Z764">
        <v>0</v>
      </c>
      <c r="AA764">
        <v>0</v>
      </c>
      <c r="AC764">
        <v>92.08</v>
      </c>
    </row>
    <row r="765" spans="1:29">
      <c r="A765">
        <v>758</v>
      </c>
      <c r="B765">
        <v>624</v>
      </c>
      <c r="C765" t="s">
        <v>1832</v>
      </c>
      <c r="D765" t="s">
        <v>735</v>
      </c>
      <c r="E765" t="s">
        <v>115</v>
      </c>
      <c r="F765" t="s">
        <v>1833</v>
      </c>
      <c r="G765" t="str">
        <f>"00074725"</f>
        <v>00074725</v>
      </c>
      <c r="H765">
        <v>72</v>
      </c>
      <c r="I765">
        <v>0</v>
      </c>
      <c r="J765">
        <v>8</v>
      </c>
      <c r="M765">
        <v>8</v>
      </c>
      <c r="N765">
        <v>4</v>
      </c>
      <c r="O765">
        <v>2</v>
      </c>
      <c r="P765">
        <v>86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6</v>
      </c>
      <c r="AA765">
        <v>0</v>
      </c>
      <c r="AC765">
        <v>92</v>
      </c>
    </row>
    <row r="766" spans="1:29">
      <c r="A766">
        <v>759</v>
      </c>
      <c r="B766">
        <v>2789</v>
      </c>
      <c r="C766" t="s">
        <v>1828</v>
      </c>
      <c r="D766" t="s">
        <v>113</v>
      </c>
      <c r="E766" t="s">
        <v>79</v>
      </c>
      <c r="F766" t="s">
        <v>1829</v>
      </c>
      <c r="G766" t="str">
        <f>"00646090"</f>
        <v>00646090</v>
      </c>
      <c r="H766">
        <v>72</v>
      </c>
      <c r="I766">
        <v>0</v>
      </c>
      <c r="J766">
        <v>8</v>
      </c>
      <c r="M766">
        <v>8</v>
      </c>
      <c r="N766">
        <v>4</v>
      </c>
      <c r="O766">
        <v>2</v>
      </c>
      <c r="P766">
        <v>86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6</v>
      </c>
      <c r="AA766">
        <v>0</v>
      </c>
      <c r="AC766">
        <v>92</v>
      </c>
    </row>
    <row r="767" spans="1:29">
      <c r="A767">
        <v>760</v>
      </c>
      <c r="B767">
        <v>262</v>
      </c>
      <c r="C767" t="s">
        <v>1830</v>
      </c>
      <c r="D767" t="s">
        <v>27</v>
      </c>
      <c r="E767" t="s">
        <v>997</v>
      </c>
      <c r="F767" t="s">
        <v>1831</v>
      </c>
      <c r="G767" t="str">
        <f>"00588878"</f>
        <v>00588878</v>
      </c>
      <c r="H767">
        <v>72</v>
      </c>
      <c r="I767">
        <v>0</v>
      </c>
      <c r="J767">
        <v>8</v>
      </c>
      <c r="M767">
        <v>8</v>
      </c>
      <c r="N767">
        <v>4</v>
      </c>
      <c r="O767">
        <v>2</v>
      </c>
      <c r="P767">
        <v>86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6</v>
      </c>
      <c r="AA767">
        <v>0</v>
      </c>
      <c r="AC767">
        <v>92</v>
      </c>
    </row>
    <row r="768" spans="1:29">
      <c r="A768">
        <v>761</v>
      </c>
      <c r="B768">
        <v>92</v>
      </c>
      <c r="C768" t="s">
        <v>1834</v>
      </c>
      <c r="D768" t="s">
        <v>130</v>
      </c>
      <c r="E768" t="s">
        <v>187</v>
      </c>
      <c r="F768" t="s">
        <v>1835</v>
      </c>
      <c r="G768" t="str">
        <f>"00530765"</f>
        <v>00530765</v>
      </c>
      <c r="H768">
        <v>72</v>
      </c>
      <c r="I768">
        <v>0</v>
      </c>
      <c r="M768">
        <v>0</v>
      </c>
      <c r="N768">
        <v>0</v>
      </c>
      <c r="O768">
        <v>2</v>
      </c>
      <c r="P768">
        <v>74</v>
      </c>
      <c r="Q768">
        <v>18</v>
      </c>
      <c r="R768">
        <v>18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18</v>
      </c>
      <c r="Z768">
        <v>0</v>
      </c>
      <c r="AA768">
        <v>0</v>
      </c>
      <c r="AC768">
        <v>92</v>
      </c>
    </row>
    <row r="769" spans="1:29">
      <c r="A769">
        <v>762</v>
      </c>
      <c r="B769">
        <v>2884</v>
      </c>
      <c r="C769" t="s">
        <v>1838</v>
      </c>
      <c r="D769" t="s">
        <v>141</v>
      </c>
      <c r="E769" t="s">
        <v>134</v>
      </c>
      <c r="F769" t="s">
        <v>1839</v>
      </c>
      <c r="G769" t="str">
        <f>"00534166"</f>
        <v>00534166</v>
      </c>
      <c r="H769">
        <v>36</v>
      </c>
      <c r="I769">
        <v>10</v>
      </c>
      <c r="M769">
        <v>0</v>
      </c>
      <c r="N769">
        <v>0</v>
      </c>
      <c r="O769">
        <v>0</v>
      </c>
      <c r="P769">
        <v>46</v>
      </c>
      <c r="Q769">
        <v>46</v>
      </c>
      <c r="R769">
        <v>46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46</v>
      </c>
      <c r="Z769">
        <v>0</v>
      </c>
      <c r="AA769">
        <v>0</v>
      </c>
      <c r="AC769">
        <v>92</v>
      </c>
    </row>
    <row r="770" spans="1:29">
      <c r="A770">
        <v>763</v>
      </c>
      <c r="B770">
        <v>81</v>
      </c>
      <c r="C770" t="s">
        <v>1836</v>
      </c>
      <c r="D770" t="s">
        <v>95</v>
      </c>
      <c r="E770" t="s">
        <v>15</v>
      </c>
      <c r="F770" t="s">
        <v>1837</v>
      </c>
      <c r="G770" t="str">
        <f>"00502820"</f>
        <v>00502820</v>
      </c>
      <c r="H770">
        <v>36</v>
      </c>
      <c r="I770">
        <v>0</v>
      </c>
      <c r="L770">
        <v>4</v>
      </c>
      <c r="M770">
        <v>4</v>
      </c>
      <c r="N770">
        <v>4</v>
      </c>
      <c r="O770">
        <v>2</v>
      </c>
      <c r="P770">
        <v>46</v>
      </c>
      <c r="Q770">
        <v>46</v>
      </c>
      <c r="R770">
        <v>46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46</v>
      </c>
      <c r="Z770">
        <v>0</v>
      </c>
      <c r="AA770">
        <v>0</v>
      </c>
      <c r="AC770">
        <v>92</v>
      </c>
    </row>
    <row r="771" spans="1:29">
      <c r="A771">
        <v>764</v>
      </c>
      <c r="B771">
        <v>500</v>
      </c>
      <c r="C771" t="s">
        <v>1840</v>
      </c>
      <c r="D771" t="s">
        <v>98</v>
      </c>
      <c r="E771" t="s">
        <v>1119</v>
      </c>
      <c r="F771" t="s">
        <v>1841</v>
      </c>
      <c r="G771" t="str">
        <f>"200911000270"</f>
        <v>200911000270</v>
      </c>
      <c r="H771">
        <v>0</v>
      </c>
      <c r="I771">
        <v>0</v>
      </c>
      <c r="J771">
        <v>8</v>
      </c>
      <c r="M771">
        <v>8</v>
      </c>
      <c r="N771">
        <v>4</v>
      </c>
      <c r="O771">
        <v>2</v>
      </c>
      <c r="P771">
        <v>14</v>
      </c>
      <c r="Q771">
        <v>78</v>
      </c>
      <c r="R771">
        <v>78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78</v>
      </c>
      <c r="Z771">
        <v>0</v>
      </c>
      <c r="AA771">
        <v>0</v>
      </c>
      <c r="AC771">
        <v>92</v>
      </c>
    </row>
    <row r="772" spans="1:29">
      <c r="A772">
        <v>765</v>
      </c>
      <c r="B772">
        <v>3368</v>
      </c>
      <c r="C772" t="s">
        <v>1842</v>
      </c>
      <c r="D772" t="s">
        <v>820</v>
      </c>
      <c r="E772" t="s">
        <v>1512</v>
      </c>
      <c r="F772" t="s">
        <v>1843</v>
      </c>
      <c r="G772" t="str">
        <f>"00248856"</f>
        <v>00248856</v>
      </c>
      <c r="H772">
        <v>37.840000000000003</v>
      </c>
      <c r="I772">
        <v>0</v>
      </c>
      <c r="J772">
        <v>8</v>
      </c>
      <c r="M772">
        <v>8</v>
      </c>
      <c r="N772">
        <v>4</v>
      </c>
      <c r="O772">
        <v>2</v>
      </c>
      <c r="P772">
        <v>51.84</v>
      </c>
      <c r="Q772">
        <v>37</v>
      </c>
      <c r="R772">
        <v>37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37</v>
      </c>
      <c r="Z772">
        <v>3</v>
      </c>
      <c r="AA772">
        <v>0</v>
      </c>
      <c r="AC772">
        <v>91.84</v>
      </c>
    </row>
    <row r="773" spans="1:29">
      <c r="A773">
        <v>766</v>
      </c>
      <c r="B773">
        <v>1484</v>
      </c>
      <c r="C773" t="s">
        <v>1844</v>
      </c>
      <c r="D773" t="s">
        <v>27</v>
      </c>
      <c r="E773" t="s">
        <v>18</v>
      </c>
      <c r="F773" t="s">
        <v>1845</v>
      </c>
      <c r="G773" t="str">
        <f>"00494488"</f>
        <v>00494488</v>
      </c>
      <c r="H773">
        <v>28.8</v>
      </c>
      <c r="I773">
        <v>0</v>
      </c>
      <c r="L773">
        <v>4</v>
      </c>
      <c r="M773">
        <v>4</v>
      </c>
      <c r="N773">
        <v>4</v>
      </c>
      <c r="O773">
        <v>2</v>
      </c>
      <c r="P773">
        <v>38.799999999999997</v>
      </c>
      <c r="Q773">
        <v>47</v>
      </c>
      <c r="R773">
        <v>47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47</v>
      </c>
      <c r="Z773">
        <v>6</v>
      </c>
      <c r="AA773">
        <v>0</v>
      </c>
      <c r="AC773">
        <v>91.8</v>
      </c>
    </row>
    <row r="774" spans="1:29">
      <c r="A774">
        <v>767</v>
      </c>
      <c r="B774">
        <v>2573</v>
      </c>
      <c r="C774" t="s">
        <v>1846</v>
      </c>
      <c r="D774" t="s">
        <v>52</v>
      </c>
      <c r="E774" t="s">
        <v>77</v>
      </c>
      <c r="F774" t="s">
        <v>1847</v>
      </c>
      <c r="G774" t="str">
        <f>"00530744"</f>
        <v>00530744</v>
      </c>
      <c r="H774">
        <v>28.8</v>
      </c>
      <c r="I774">
        <v>0</v>
      </c>
      <c r="M774">
        <v>0</v>
      </c>
      <c r="N774">
        <v>0</v>
      </c>
      <c r="O774">
        <v>0</v>
      </c>
      <c r="P774">
        <v>28.8</v>
      </c>
      <c r="Q774">
        <v>60</v>
      </c>
      <c r="R774">
        <v>60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60</v>
      </c>
      <c r="Z774">
        <v>3</v>
      </c>
      <c r="AA774">
        <v>0</v>
      </c>
      <c r="AC774">
        <v>91.8</v>
      </c>
    </row>
    <row r="775" spans="1:29">
      <c r="A775">
        <v>768</v>
      </c>
      <c r="B775">
        <v>4198</v>
      </c>
      <c r="C775" t="s">
        <v>1848</v>
      </c>
      <c r="D775" t="s">
        <v>141</v>
      </c>
      <c r="E775" t="s">
        <v>564</v>
      </c>
      <c r="F775" t="s">
        <v>1849</v>
      </c>
      <c r="G775" t="str">
        <f>"00532331"</f>
        <v>00532331</v>
      </c>
      <c r="H775">
        <v>28.8</v>
      </c>
      <c r="I775">
        <v>0</v>
      </c>
      <c r="M775">
        <v>0</v>
      </c>
      <c r="N775">
        <v>4</v>
      </c>
      <c r="O775">
        <v>0</v>
      </c>
      <c r="P775">
        <v>32.799999999999997</v>
      </c>
      <c r="Q775">
        <v>59</v>
      </c>
      <c r="R775">
        <v>59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59</v>
      </c>
      <c r="Z775">
        <v>0</v>
      </c>
      <c r="AA775">
        <v>0</v>
      </c>
      <c r="AC775">
        <v>91.8</v>
      </c>
    </row>
    <row r="776" spans="1:29">
      <c r="A776">
        <v>769</v>
      </c>
      <c r="B776">
        <v>2062</v>
      </c>
      <c r="C776" t="s">
        <v>1850</v>
      </c>
      <c r="D776" t="s">
        <v>1278</v>
      </c>
      <c r="E776" t="s">
        <v>28</v>
      </c>
      <c r="F776" t="s">
        <v>1851</v>
      </c>
      <c r="G776" t="str">
        <f>"201602000431"</f>
        <v>201602000431</v>
      </c>
      <c r="H776">
        <v>9.7200000000000006</v>
      </c>
      <c r="I776">
        <v>0</v>
      </c>
      <c r="M776">
        <v>0</v>
      </c>
      <c r="N776">
        <v>4</v>
      </c>
      <c r="O776">
        <v>0</v>
      </c>
      <c r="P776">
        <v>13.72</v>
      </c>
      <c r="Q776">
        <v>72</v>
      </c>
      <c r="R776">
        <v>72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72</v>
      </c>
      <c r="Z776">
        <v>6</v>
      </c>
      <c r="AA776">
        <v>0</v>
      </c>
      <c r="AC776">
        <v>91.72</v>
      </c>
    </row>
    <row r="777" spans="1:29">
      <c r="A777">
        <v>770</v>
      </c>
      <c r="B777">
        <v>3026</v>
      </c>
      <c r="C777" t="s">
        <v>1852</v>
      </c>
      <c r="D777" t="s">
        <v>141</v>
      </c>
      <c r="E777" t="s">
        <v>165</v>
      </c>
      <c r="F777" t="s">
        <v>1853</v>
      </c>
      <c r="G777" t="str">
        <f>"00500775"</f>
        <v>00500775</v>
      </c>
      <c r="H777">
        <v>21.72</v>
      </c>
      <c r="I777">
        <v>0</v>
      </c>
      <c r="J777">
        <v>8</v>
      </c>
      <c r="M777">
        <v>8</v>
      </c>
      <c r="N777">
        <v>4</v>
      </c>
      <c r="O777">
        <v>2</v>
      </c>
      <c r="P777">
        <v>35.72</v>
      </c>
      <c r="Q777">
        <v>56</v>
      </c>
      <c r="R777">
        <v>56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56</v>
      </c>
      <c r="Z777">
        <v>0</v>
      </c>
      <c r="AA777">
        <v>0</v>
      </c>
      <c r="AC777">
        <v>91.72</v>
      </c>
    </row>
    <row r="778" spans="1:29">
      <c r="A778">
        <v>771</v>
      </c>
      <c r="B778">
        <v>99</v>
      </c>
      <c r="C778" t="s">
        <v>1854</v>
      </c>
      <c r="D778" t="s">
        <v>39</v>
      </c>
      <c r="E778" t="s">
        <v>1855</v>
      </c>
      <c r="F778" t="s">
        <v>1856</v>
      </c>
      <c r="G778" t="str">
        <f>"00531006"</f>
        <v>00531006</v>
      </c>
      <c r="H778">
        <v>39.6</v>
      </c>
      <c r="I778">
        <v>0</v>
      </c>
      <c r="J778">
        <v>8</v>
      </c>
      <c r="M778">
        <v>8</v>
      </c>
      <c r="N778">
        <v>0</v>
      </c>
      <c r="O778">
        <v>0</v>
      </c>
      <c r="P778">
        <v>47.6</v>
      </c>
      <c r="Q778">
        <v>41</v>
      </c>
      <c r="R778">
        <v>41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41</v>
      </c>
      <c r="Z778">
        <v>3</v>
      </c>
      <c r="AA778">
        <v>0</v>
      </c>
      <c r="AC778">
        <v>91.6</v>
      </c>
    </row>
    <row r="779" spans="1:29">
      <c r="A779">
        <v>772</v>
      </c>
      <c r="B779">
        <v>4452</v>
      </c>
      <c r="C779" t="s">
        <v>1032</v>
      </c>
      <c r="D779" t="s">
        <v>31</v>
      </c>
      <c r="E779" t="s">
        <v>156</v>
      </c>
      <c r="F779" t="s">
        <v>1857</v>
      </c>
      <c r="G779" t="str">
        <f>"00144250"</f>
        <v>00144250</v>
      </c>
      <c r="H779">
        <v>57.6</v>
      </c>
      <c r="I779">
        <v>10</v>
      </c>
      <c r="M779">
        <v>0</v>
      </c>
      <c r="N779">
        <v>4</v>
      </c>
      <c r="O779">
        <v>2</v>
      </c>
      <c r="P779">
        <v>73.599999999999994</v>
      </c>
      <c r="Q779">
        <v>18</v>
      </c>
      <c r="R779">
        <v>18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18</v>
      </c>
      <c r="Z779">
        <v>0</v>
      </c>
      <c r="AA779">
        <v>0</v>
      </c>
      <c r="AC779">
        <v>91.6</v>
      </c>
    </row>
    <row r="780" spans="1:29">
      <c r="A780">
        <v>773</v>
      </c>
      <c r="B780">
        <v>1085</v>
      </c>
      <c r="C780" t="s">
        <v>1858</v>
      </c>
      <c r="D780" t="s">
        <v>95</v>
      </c>
      <c r="E780" t="s">
        <v>1020</v>
      </c>
      <c r="F780" t="s">
        <v>1859</v>
      </c>
      <c r="G780" t="str">
        <f>"00532097"</f>
        <v>00532097</v>
      </c>
      <c r="H780">
        <v>57.6</v>
      </c>
      <c r="I780">
        <v>10</v>
      </c>
      <c r="M780">
        <v>0</v>
      </c>
      <c r="N780">
        <v>4</v>
      </c>
      <c r="O780">
        <v>2</v>
      </c>
      <c r="P780">
        <v>73.599999999999994</v>
      </c>
      <c r="Q780">
        <v>18</v>
      </c>
      <c r="R780">
        <v>18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18</v>
      </c>
      <c r="Z780">
        <v>0</v>
      </c>
      <c r="AA780">
        <v>0</v>
      </c>
      <c r="AC780">
        <v>91.6</v>
      </c>
    </row>
    <row r="781" spans="1:29">
      <c r="A781">
        <v>774</v>
      </c>
      <c r="B781">
        <v>2840</v>
      </c>
      <c r="C781" t="s">
        <v>1860</v>
      </c>
      <c r="D781" t="s">
        <v>1240</v>
      </c>
      <c r="E781" t="s">
        <v>967</v>
      </c>
      <c r="F781" t="s">
        <v>1861</v>
      </c>
      <c r="G781" t="str">
        <f>"00517573"</f>
        <v>00517573</v>
      </c>
      <c r="H781">
        <v>21.6</v>
      </c>
      <c r="I781">
        <v>10</v>
      </c>
      <c r="J781">
        <v>8</v>
      </c>
      <c r="M781">
        <v>8</v>
      </c>
      <c r="N781">
        <v>4</v>
      </c>
      <c r="O781">
        <v>0</v>
      </c>
      <c r="P781">
        <v>43.6</v>
      </c>
      <c r="Q781">
        <v>48</v>
      </c>
      <c r="R781">
        <v>48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48</v>
      </c>
      <c r="Z781">
        <v>0</v>
      </c>
      <c r="AA781">
        <v>0</v>
      </c>
      <c r="AC781">
        <v>91.6</v>
      </c>
    </row>
    <row r="782" spans="1:29">
      <c r="A782">
        <v>775</v>
      </c>
      <c r="B782">
        <v>3353</v>
      </c>
      <c r="C782" t="s">
        <v>1864</v>
      </c>
      <c r="D782" t="s">
        <v>98</v>
      </c>
      <c r="E782" t="s">
        <v>134</v>
      </c>
      <c r="F782" t="s">
        <v>1865</v>
      </c>
      <c r="G782" t="str">
        <f>"201511029802"</f>
        <v>201511029802</v>
      </c>
      <c r="H782">
        <v>21.6</v>
      </c>
      <c r="I782">
        <v>0</v>
      </c>
      <c r="L782">
        <v>4</v>
      </c>
      <c r="M782">
        <v>4</v>
      </c>
      <c r="N782">
        <v>4</v>
      </c>
      <c r="O782">
        <v>2</v>
      </c>
      <c r="P782">
        <v>31.6</v>
      </c>
      <c r="Q782">
        <v>60</v>
      </c>
      <c r="R782">
        <v>60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60</v>
      </c>
      <c r="Z782">
        <v>0</v>
      </c>
      <c r="AA782">
        <v>0</v>
      </c>
      <c r="AC782">
        <v>91.6</v>
      </c>
    </row>
    <row r="783" spans="1:29">
      <c r="A783">
        <v>776</v>
      </c>
      <c r="B783">
        <v>1555</v>
      </c>
      <c r="C783" t="s">
        <v>1862</v>
      </c>
      <c r="D783" t="s">
        <v>86</v>
      </c>
      <c r="E783" t="s">
        <v>36</v>
      </c>
      <c r="F783" t="s">
        <v>1863</v>
      </c>
      <c r="G783" t="str">
        <f>"00478745"</f>
        <v>00478745</v>
      </c>
      <c r="H783">
        <v>21.6</v>
      </c>
      <c r="I783">
        <v>0</v>
      </c>
      <c r="L783">
        <v>4</v>
      </c>
      <c r="M783">
        <v>4</v>
      </c>
      <c r="N783">
        <v>4</v>
      </c>
      <c r="O783">
        <v>2</v>
      </c>
      <c r="P783">
        <v>31.6</v>
      </c>
      <c r="Q783">
        <v>60</v>
      </c>
      <c r="R783">
        <v>60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60</v>
      </c>
      <c r="Z783">
        <v>0</v>
      </c>
      <c r="AA783">
        <v>0</v>
      </c>
      <c r="AC783">
        <v>91.6</v>
      </c>
    </row>
    <row r="784" spans="1:29">
      <c r="A784">
        <v>777</v>
      </c>
      <c r="B784">
        <v>3969</v>
      </c>
      <c r="C784" t="s">
        <v>1866</v>
      </c>
      <c r="D784" t="s">
        <v>27</v>
      </c>
      <c r="E784" t="s">
        <v>1867</v>
      </c>
      <c r="F784" t="s">
        <v>1868</v>
      </c>
      <c r="G784" t="str">
        <f>"00514814"</f>
        <v>00514814</v>
      </c>
      <c r="H784">
        <v>39.56</v>
      </c>
      <c r="I784">
        <v>0</v>
      </c>
      <c r="M784">
        <v>0</v>
      </c>
      <c r="N784">
        <v>4</v>
      </c>
      <c r="O784">
        <v>2</v>
      </c>
      <c r="P784">
        <v>45.56</v>
      </c>
      <c r="Q784">
        <v>37</v>
      </c>
      <c r="R784">
        <v>37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37</v>
      </c>
      <c r="Z784">
        <v>9</v>
      </c>
      <c r="AA784">
        <v>0</v>
      </c>
      <c r="AC784">
        <v>91.56</v>
      </c>
    </row>
    <row r="785" spans="1:29">
      <c r="A785">
        <v>778</v>
      </c>
      <c r="B785">
        <v>1688</v>
      </c>
      <c r="C785" t="s">
        <v>1869</v>
      </c>
      <c r="D785" t="s">
        <v>248</v>
      </c>
      <c r="E785" t="s">
        <v>15</v>
      </c>
      <c r="F785" t="s">
        <v>1870</v>
      </c>
      <c r="G785" t="str">
        <f>"00282146"</f>
        <v>00282146</v>
      </c>
      <c r="H785">
        <v>34.479999999999997</v>
      </c>
      <c r="I785">
        <v>0</v>
      </c>
      <c r="J785">
        <v>8</v>
      </c>
      <c r="M785">
        <v>8</v>
      </c>
      <c r="N785">
        <v>4</v>
      </c>
      <c r="O785">
        <v>2</v>
      </c>
      <c r="P785">
        <v>48.48</v>
      </c>
      <c r="Q785">
        <v>34</v>
      </c>
      <c r="R785">
        <v>34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34</v>
      </c>
      <c r="Z785">
        <v>9</v>
      </c>
      <c r="AA785">
        <v>0</v>
      </c>
      <c r="AC785">
        <v>91.48</v>
      </c>
    </row>
    <row r="786" spans="1:29">
      <c r="A786">
        <v>779</v>
      </c>
      <c r="B786">
        <v>3878</v>
      </c>
      <c r="C786" t="s">
        <v>1871</v>
      </c>
      <c r="D786" t="s">
        <v>159</v>
      </c>
      <c r="E786" t="s">
        <v>122</v>
      </c>
      <c r="F786" t="s">
        <v>1872</v>
      </c>
      <c r="G786" t="str">
        <f>"00519175"</f>
        <v>00519175</v>
      </c>
      <c r="H786">
        <v>50.4</v>
      </c>
      <c r="I786">
        <v>0</v>
      </c>
      <c r="K786">
        <v>6</v>
      </c>
      <c r="M786">
        <v>6</v>
      </c>
      <c r="N786">
        <v>0</v>
      </c>
      <c r="O786">
        <v>2</v>
      </c>
      <c r="P786">
        <v>58.4</v>
      </c>
      <c r="Q786">
        <v>33</v>
      </c>
      <c r="R786">
        <v>33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33</v>
      </c>
      <c r="Z786">
        <v>0</v>
      </c>
      <c r="AA786">
        <v>0</v>
      </c>
      <c r="AC786">
        <v>91.4</v>
      </c>
    </row>
    <row r="787" spans="1:29">
      <c r="A787">
        <v>780</v>
      </c>
      <c r="B787">
        <v>4111</v>
      </c>
      <c r="C787" t="s">
        <v>1873</v>
      </c>
      <c r="D787" t="s">
        <v>35</v>
      </c>
      <c r="E787" t="s">
        <v>134</v>
      </c>
      <c r="F787" t="s">
        <v>1874</v>
      </c>
      <c r="G787" t="str">
        <f>"00497759"</f>
        <v>00497759</v>
      </c>
      <c r="H787">
        <v>14.4</v>
      </c>
      <c r="I787">
        <v>0</v>
      </c>
      <c r="L787">
        <v>4</v>
      </c>
      <c r="M787">
        <v>4</v>
      </c>
      <c r="N787">
        <v>4</v>
      </c>
      <c r="O787">
        <v>2</v>
      </c>
      <c r="P787">
        <v>24.4</v>
      </c>
      <c r="Q787">
        <v>67</v>
      </c>
      <c r="R787">
        <v>67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67</v>
      </c>
      <c r="Z787">
        <v>0</v>
      </c>
      <c r="AA787">
        <v>0</v>
      </c>
      <c r="AC787">
        <v>91.4</v>
      </c>
    </row>
    <row r="788" spans="1:29">
      <c r="A788">
        <v>781</v>
      </c>
      <c r="B788">
        <v>1459</v>
      </c>
      <c r="C788" t="s">
        <v>1875</v>
      </c>
      <c r="D788" t="s">
        <v>400</v>
      </c>
      <c r="E788" t="s">
        <v>233</v>
      </c>
      <c r="F788" t="s">
        <v>1876</v>
      </c>
      <c r="G788" t="str">
        <f>"00510130"</f>
        <v>00510130</v>
      </c>
      <c r="H788">
        <v>43.2</v>
      </c>
      <c r="I788">
        <v>10</v>
      </c>
      <c r="L788">
        <v>4</v>
      </c>
      <c r="M788">
        <v>4</v>
      </c>
      <c r="N788">
        <v>4</v>
      </c>
      <c r="O788">
        <v>2</v>
      </c>
      <c r="P788">
        <v>63.2</v>
      </c>
      <c r="Q788">
        <v>19</v>
      </c>
      <c r="R788">
        <v>19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19</v>
      </c>
      <c r="Z788">
        <v>9</v>
      </c>
      <c r="AA788">
        <v>0</v>
      </c>
      <c r="AC788">
        <v>91.2</v>
      </c>
    </row>
    <row r="789" spans="1:29">
      <c r="A789">
        <v>782</v>
      </c>
      <c r="B789">
        <v>2719</v>
      </c>
      <c r="C789" t="s">
        <v>1877</v>
      </c>
      <c r="D789" t="s">
        <v>1465</v>
      </c>
      <c r="E789" t="s">
        <v>15</v>
      </c>
      <c r="F789" t="s">
        <v>1878</v>
      </c>
      <c r="G789" t="str">
        <f>"00512216"</f>
        <v>00512216</v>
      </c>
      <c r="H789">
        <v>33.159999999999997</v>
      </c>
      <c r="I789">
        <v>0</v>
      </c>
      <c r="M789">
        <v>0</v>
      </c>
      <c r="N789">
        <v>4</v>
      </c>
      <c r="O789">
        <v>0</v>
      </c>
      <c r="P789">
        <v>37.159999999999997</v>
      </c>
      <c r="Q789">
        <v>54</v>
      </c>
      <c r="R789">
        <v>54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54</v>
      </c>
      <c r="Z789">
        <v>0</v>
      </c>
      <c r="AA789">
        <v>0</v>
      </c>
      <c r="AC789">
        <v>91.16</v>
      </c>
    </row>
    <row r="790" spans="1:29">
      <c r="A790">
        <v>783</v>
      </c>
      <c r="B790">
        <v>149</v>
      </c>
      <c r="C790" t="s">
        <v>1879</v>
      </c>
      <c r="D790" t="s">
        <v>27</v>
      </c>
      <c r="E790" t="s">
        <v>156</v>
      </c>
      <c r="F790" t="s">
        <v>1880</v>
      </c>
      <c r="G790" t="str">
        <f>"00510949"</f>
        <v>00510949</v>
      </c>
      <c r="H790">
        <v>0</v>
      </c>
      <c r="I790">
        <v>0</v>
      </c>
      <c r="L790">
        <v>4</v>
      </c>
      <c r="M790">
        <v>4</v>
      </c>
      <c r="N790">
        <v>4</v>
      </c>
      <c r="O790">
        <v>0</v>
      </c>
      <c r="P790">
        <v>8</v>
      </c>
      <c r="Q790">
        <v>80</v>
      </c>
      <c r="R790">
        <v>80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80</v>
      </c>
      <c r="Z790">
        <v>3</v>
      </c>
      <c r="AA790">
        <v>0</v>
      </c>
      <c r="AC790">
        <v>91</v>
      </c>
    </row>
    <row r="791" spans="1:29">
      <c r="A791">
        <v>784</v>
      </c>
      <c r="B791">
        <v>1489</v>
      </c>
      <c r="C791" t="s">
        <v>1881</v>
      </c>
      <c r="D791" t="s">
        <v>52</v>
      </c>
      <c r="E791" t="s">
        <v>165</v>
      </c>
      <c r="F791" t="s">
        <v>1882</v>
      </c>
      <c r="G791" t="str">
        <f>"00162557"</f>
        <v>00162557</v>
      </c>
      <c r="H791">
        <v>36</v>
      </c>
      <c r="I791">
        <v>0</v>
      </c>
      <c r="J791">
        <v>8</v>
      </c>
      <c r="M791">
        <v>8</v>
      </c>
      <c r="N791">
        <v>4</v>
      </c>
      <c r="O791">
        <v>2</v>
      </c>
      <c r="P791">
        <v>50</v>
      </c>
      <c r="Q791">
        <v>41</v>
      </c>
      <c r="R791">
        <v>41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41</v>
      </c>
      <c r="Z791">
        <v>0</v>
      </c>
      <c r="AA791">
        <v>0</v>
      </c>
      <c r="AC791">
        <v>91</v>
      </c>
    </row>
    <row r="792" spans="1:29">
      <c r="A792">
        <v>785</v>
      </c>
      <c r="B792">
        <v>1318</v>
      </c>
      <c r="C792" t="s">
        <v>1883</v>
      </c>
      <c r="D792" t="s">
        <v>52</v>
      </c>
      <c r="E792" t="s">
        <v>28</v>
      </c>
      <c r="F792" t="s">
        <v>1884</v>
      </c>
      <c r="G792" t="str">
        <f>"00441677"</f>
        <v>00441677</v>
      </c>
      <c r="H792">
        <v>40</v>
      </c>
      <c r="I792">
        <v>0</v>
      </c>
      <c r="M792">
        <v>0</v>
      </c>
      <c r="N792">
        <v>0</v>
      </c>
      <c r="O792">
        <v>0</v>
      </c>
      <c r="P792">
        <v>40</v>
      </c>
      <c r="Q792">
        <v>51</v>
      </c>
      <c r="R792">
        <v>51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51</v>
      </c>
      <c r="Z792">
        <v>0</v>
      </c>
      <c r="AA792">
        <v>0</v>
      </c>
      <c r="AC792">
        <v>91</v>
      </c>
    </row>
    <row r="793" spans="1:29">
      <c r="A793">
        <v>786</v>
      </c>
      <c r="B793">
        <v>4188</v>
      </c>
      <c r="C793" t="s">
        <v>1885</v>
      </c>
      <c r="D793" t="s">
        <v>433</v>
      </c>
      <c r="E793" t="s">
        <v>15</v>
      </c>
      <c r="F793" t="s">
        <v>1886</v>
      </c>
      <c r="G793" t="str">
        <f>"201511004922"</f>
        <v>201511004922</v>
      </c>
      <c r="H793">
        <v>7.2</v>
      </c>
      <c r="I793">
        <v>0</v>
      </c>
      <c r="K793">
        <v>6</v>
      </c>
      <c r="M793">
        <v>6</v>
      </c>
      <c r="N793">
        <v>4</v>
      </c>
      <c r="O793">
        <v>2</v>
      </c>
      <c r="P793">
        <v>19.2</v>
      </c>
      <c r="Q793">
        <v>26</v>
      </c>
      <c r="R793">
        <v>26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26</v>
      </c>
      <c r="Z793">
        <v>6</v>
      </c>
      <c r="AA793">
        <v>39.6</v>
      </c>
      <c r="AC793">
        <v>90.8</v>
      </c>
    </row>
    <row r="794" spans="1:29">
      <c r="A794">
        <v>787</v>
      </c>
      <c r="B794">
        <v>93</v>
      </c>
      <c r="C794" t="s">
        <v>1887</v>
      </c>
      <c r="D794" t="s">
        <v>1888</v>
      </c>
      <c r="E794" t="s">
        <v>18</v>
      </c>
      <c r="F794" t="s">
        <v>1889</v>
      </c>
      <c r="G794" t="str">
        <f>"00243294"</f>
        <v>00243294</v>
      </c>
      <c r="H794">
        <v>29.8</v>
      </c>
      <c r="I794">
        <v>0</v>
      </c>
      <c r="J794">
        <v>8</v>
      </c>
      <c r="M794">
        <v>8</v>
      </c>
      <c r="N794">
        <v>4</v>
      </c>
      <c r="O794">
        <v>2</v>
      </c>
      <c r="P794">
        <v>43.8</v>
      </c>
      <c r="Q794">
        <v>38</v>
      </c>
      <c r="R794">
        <v>38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38</v>
      </c>
      <c r="Z794">
        <v>9</v>
      </c>
      <c r="AA794">
        <v>0</v>
      </c>
      <c r="AC794">
        <v>90.8</v>
      </c>
    </row>
    <row r="795" spans="1:29">
      <c r="A795">
        <v>788</v>
      </c>
      <c r="B795">
        <v>628</v>
      </c>
      <c r="C795" t="s">
        <v>1890</v>
      </c>
      <c r="D795" t="s">
        <v>27</v>
      </c>
      <c r="E795" t="s">
        <v>15</v>
      </c>
      <c r="F795" t="s">
        <v>1891</v>
      </c>
      <c r="G795" t="str">
        <f>"201406002403"</f>
        <v>201406002403</v>
      </c>
      <c r="H795">
        <v>28.8</v>
      </c>
      <c r="I795">
        <v>10</v>
      </c>
      <c r="M795">
        <v>0</v>
      </c>
      <c r="N795">
        <v>0</v>
      </c>
      <c r="O795">
        <v>2</v>
      </c>
      <c r="P795">
        <v>40.799999999999997</v>
      </c>
      <c r="Q795">
        <v>47</v>
      </c>
      <c r="R795">
        <v>47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47</v>
      </c>
      <c r="Z795">
        <v>3</v>
      </c>
      <c r="AA795">
        <v>0</v>
      </c>
      <c r="AC795">
        <v>90.8</v>
      </c>
    </row>
    <row r="796" spans="1:29">
      <c r="A796">
        <v>789</v>
      </c>
      <c r="B796">
        <v>2582</v>
      </c>
      <c r="C796" t="s">
        <v>1892</v>
      </c>
      <c r="D796" t="s">
        <v>1893</v>
      </c>
      <c r="E796" t="s">
        <v>187</v>
      </c>
      <c r="F796" t="s">
        <v>1894</v>
      </c>
      <c r="G796" t="str">
        <f>"00855299"</f>
        <v>00855299</v>
      </c>
      <c r="H796">
        <v>64.8</v>
      </c>
      <c r="I796">
        <v>10</v>
      </c>
      <c r="K796">
        <v>12</v>
      </c>
      <c r="M796">
        <v>12</v>
      </c>
      <c r="N796">
        <v>4</v>
      </c>
      <c r="O796">
        <v>0</v>
      </c>
      <c r="P796">
        <v>90.8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C796">
        <v>90.8</v>
      </c>
    </row>
    <row r="797" spans="1:29">
      <c r="A797">
        <v>790</v>
      </c>
      <c r="B797">
        <v>3259</v>
      </c>
      <c r="C797" t="s">
        <v>1895</v>
      </c>
      <c r="D797" t="s">
        <v>130</v>
      </c>
      <c r="E797" t="s">
        <v>777</v>
      </c>
      <c r="F797" t="s">
        <v>1896</v>
      </c>
      <c r="G797" t="str">
        <f>"00169971"</f>
        <v>00169971</v>
      </c>
      <c r="H797">
        <v>64.8</v>
      </c>
      <c r="I797">
        <v>10</v>
      </c>
      <c r="J797">
        <v>8</v>
      </c>
      <c r="L797">
        <v>4</v>
      </c>
      <c r="M797">
        <v>12</v>
      </c>
      <c r="N797">
        <v>4</v>
      </c>
      <c r="O797">
        <v>0</v>
      </c>
      <c r="P797">
        <v>90.8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C797">
        <v>90.8</v>
      </c>
    </row>
    <row r="798" spans="1:29">
      <c r="A798">
        <v>791</v>
      </c>
      <c r="B798">
        <v>2575</v>
      </c>
      <c r="C798" t="s">
        <v>1897</v>
      </c>
      <c r="D798" t="s">
        <v>27</v>
      </c>
      <c r="E798" t="s">
        <v>15</v>
      </c>
      <c r="F798" t="s">
        <v>1898</v>
      </c>
      <c r="G798" t="str">
        <f>"201511041914"</f>
        <v>201511041914</v>
      </c>
      <c r="H798">
        <v>64.8</v>
      </c>
      <c r="I798">
        <v>10</v>
      </c>
      <c r="L798">
        <v>4</v>
      </c>
      <c r="M798">
        <v>4</v>
      </c>
      <c r="N798">
        <v>4</v>
      </c>
      <c r="O798">
        <v>0</v>
      </c>
      <c r="P798">
        <v>82.8</v>
      </c>
      <c r="Q798">
        <v>8</v>
      </c>
      <c r="R798">
        <v>8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8</v>
      </c>
      <c r="Z798">
        <v>0</v>
      </c>
      <c r="AA798">
        <v>0</v>
      </c>
      <c r="AC798">
        <v>90.8</v>
      </c>
    </row>
    <row r="799" spans="1:29">
      <c r="A799">
        <v>792</v>
      </c>
      <c r="B799">
        <v>1867</v>
      </c>
      <c r="C799" t="s">
        <v>1899</v>
      </c>
      <c r="D799" t="s">
        <v>1900</v>
      </c>
      <c r="E799" t="s">
        <v>1901</v>
      </c>
      <c r="F799">
        <v>59567069</v>
      </c>
      <c r="G799" t="str">
        <f>"00477864"</f>
        <v>00477864</v>
      </c>
      <c r="H799">
        <v>64.8</v>
      </c>
      <c r="I799">
        <v>0</v>
      </c>
      <c r="K799">
        <v>6</v>
      </c>
      <c r="M799">
        <v>6</v>
      </c>
      <c r="N799">
        <v>0</v>
      </c>
      <c r="O799">
        <v>2</v>
      </c>
      <c r="P799">
        <v>72.8</v>
      </c>
      <c r="Q799">
        <v>18</v>
      </c>
      <c r="R799">
        <v>18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18</v>
      </c>
      <c r="Z799">
        <v>0</v>
      </c>
      <c r="AA799">
        <v>0</v>
      </c>
      <c r="AC799">
        <v>90.8</v>
      </c>
    </row>
    <row r="800" spans="1:29">
      <c r="A800">
        <v>793</v>
      </c>
      <c r="B800">
        <v>2902</v>
      </c>
      <c r="C800" t="s">
        <v>1902</v>
      </c>
      <c r="D800" t="s">
        <v>46</v>
      </c>
      <c r="E800" t="s">
        <v>156</v>
      </c>
      <c r="F800" t="s">
        <v>1903</v>
      </c>
      <c r="G800" t="str">
        <f>"00531573"</f>
        <v>00531573</v>
      </c>
      <c r="H800">
        <v>28.8</v>
      </c>
      <c r="I800">
        <v>0</v>
      </c>
      <c r="L800">
        <v>4</v>
      </c>
      <c r="M800">
        <v>4</v>
      </c>
      <c r="N800">
        <v>0</v>
      </c>
      <c r="O800">
        <v>0</v>
      </c>
      <c r="P800">
        <v>32.799999999999997</v>
      </c>
      <c r="Q800">
        <v>58</v>
      </c>
      <c r="R800">
        <v>58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58</v>
      </c>
      <c r="Z800">
        <v>0</v>
      </c>
      <c r="AA800">
        <v>0</v>
      </c>
      <c r="AC800">
        <v>90.8</v>
      </c>
    </row>
    <row r="801" spans="1:29">
      <c r="A801">
        <v>794</v>
      </c>
      <c r="B801">
        <v>1084</v>
      </c>
      <c r="C801" t="s">
        <v>169</v>
      </c>
      <c r="D801" t="s">
        <v>52</v>
      </c>
      <c r="E801" t="s">
        <v>89</v>
      </c>
      <c r="F801" t="s">
        <v>1904</v>
      </c>
      <c r="G801" t="str">
        <f>"00503848"</f>
        <v>00503848</v>
      </c>
      <c r="H801">
        <v>21.6</v>
      </c>
      <c r="I801">
        <v>10</v>
      </c>
      <c r="M801">
        <v>0</v>
      </c>
      <c r="N801">
        <v>4</v>
      </c>
      <c r="O801">
        <v>2</v>
      </c>
      <c r="P801">
        <v>37.6</v>
      </c>
      <c r="Q801">
        <v>47</v>
      </c>
      <c r="R801">
        <v>47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47</v>
      </c>
      <c r="Z801">
        <v>6</v>
      </c>
      <c r="AA801">
        <v>0</v>
      </c>
      <c r="AC801">
        <v>90.6</v>
      </c>
    </row>
    <row r="802" spans="1:29">
      <c r="A802">
        <v>795</v>
      </c>
      <c r="B802">
        <v>3880</v>
      </c>
      <c r="C802" t="s">
        <v>1905</v>
      </c>
      <c r="D802" t="s">
        <v>1906</v>
      </c>
      <c r="E802" t="s">
        <v>28</v>
      </c>
      <c r="F802" t="s">
        <v>1907</v>
      </c>
      <c r="G802" t="str">
        <f>"00531630"</f>
        <v>00531630</v>
      </c>
      <c r="H802">
        <v>29.6</v>
      </c>
      <c r="I802">
        <v>0</v>
      </c>
      <c r="L802">
        <v>4</v>
      </c>
      <c r="M802">
        <v>4</v>
      </c>
      <c r="N802">
        <v>4</v>
      </c>
      <c r="O802">
        <v>2</v>
      </c>
      <c r="P802">
        <v>39.6</v>
      </c>
      <c r="Q802">
        <v>48</v>
      </c>
      <c r="R802">
        <v>48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48</v>
      </c>
      <c r="Z802">
        <v>3</v>
      </c>
      <c r="AA802">
        <v>0</v>
      </c>
      <c r="AC802">
        <v>90.6</v>
      </c>
    </row>
    <row r="803" spans="1:29">
      <c r="A803">
        <v>796</v>
      </c>
      <c r="B803">
        <v>120</v>
      </c>
      <c r="C803" t="s">
        <v>1908</v>
      </c>
      <c r="D803" t="s">
        <v>147</v>
      </c>
      <c r="E803" t="s">
        <v>36</v>
      </c>
      <c r="F803" t="s">
        <v>1909</v>
      </c>
      <c r="G803" t="str">
        <f>"201511020232"</f>
        <v>201511020232</v>
      </c>
      <c r="H803">
        <v>50.4</v>
      </c>
      <c r="I803">
        <v>10</v>
      </c>
      <c r="M803">
        <v>0</v>
      </c>
      <c r="N803">
        <v>4</v>
      </c>
      <c r="O803">
        <v>2</v>
      </c>
      <c r="P803">
        <v>66.400000000000006</v>
      </c>
      <c r="Q803">
        <v>18</v>
      </c>
      <c r="R803">
        <v>18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18</v>
      </c>
      <c r="Z803">
        <v>6</v>
      </c>
      <c r="AA803">
        <v>0</v>
      </c>
      <c r="AC803">
        <v>90.4</v>
      </c>
    </row>
    <row r="804" spans="1:29">
      <c r="A804">
        <v>797</v>
      </c>
      <c r="B804">
        <v>2589</v>
      </c>
      <c r="C804" t="s">
        <v>1910</v>
      </c>
      <c r="D804" t="s">
        <v>27</v>
      </c>
      <c r="E804" t="s">
        <v>15</v>
      </c>
      <c r="F804" t="s">
        <v>1911</v>
      </c>
      <c r="G804" t="str">
        <f>"00515708"</f>
        <v>00515708</v>
      </c>
      <c r="H804">
        <v>35.4</v>
      </c>
      <c r="I804">
        <v>0</v>
      </c>
      <c r="L804">
        <v>4</v>
      </c>
      <c r="M804">
        <v>4</v>
      </c>
      <c r="N804">
        <v>4</v>
      </c>
      <c r="O804">
        <v>0</v>
      </c>
      <c r="P804">
        <v>43.4</v>
      </c>
      <c r="Q804">
        <v>47</v>
      </c>
      <c r="R804">
        <v>47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47</v>
      </c>
      <c r="Z804">
        <v>0</v>
      </c>
      <c r="AA804">
        <v>0</v>
      </c>
      <c r="AC804">
        <v>90.4</v>
      </c>
    </row>
    <row r="805" spans="1:29">
      <c r="A805">
        <v>798</v>
      </c>
      <c r="B805">
        <v>780</v>
      </c>
      <c r="C805" t="s">
        <v>1912</v>
      </c>
      <c r="D805" t="s">
        <v>643</v>
      </c>
      <c r="E805" t="s">
        <v>18</v>
      </c>
      <c r="F805" t="s">
        <v>1913</v>
      </c>
      <c r="G805" t="str">
        <f>"00161882"</f>
        <v>00161882</v>
      </c>
      <c r="H805">
        <v>43.2</v>
      </c>
      <c r="I805">
        <v>0</v>
      </c>
      <c r="J805">
        <v>8</v>
      </c>
      <c r="M805">
        <v>8</v>
      </c>
      <c r="N805">
        <v>4</v>
      </c>
      <c r="O805">
        <v>2</v>
      </c>
      <c r="P805">
        <v>57.2</v>
      </c>
      <c r="Q805">
        <v>33</v>
      </c>
      <c r="R805">
        <v>33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33</v>
      </c>
      <c r="Z805">
        <v>0</v>
      </c>
      <c r="AA805">
        <v>0</v>
      </c>
      <c r="AC805">
        <v>90.2</v>
      </c>
    </row>
    <row r="806" spans="1:29">
      <c r="A806">
        <v>799</v>
      </c>
      <c r="B806">
        <v>76</v>
      </c>
      <c r="C806" t="s">
        <v>471</v>
      </c>
      <c r="D806" t="s">
        <v>167</v>
      </c>
      <c r="E806" t="s">
        <v>32</v>
      </c>
      <c r="F806" t="s">
        <v>1914</v>
      </c>
      <c r="G806" t="str">
        <f>"00522490"</f>
        <v>00522490</v>
      </c>
      <c r="H806">
        <v>43.2</v>
      </c>
      <c r="I806">
        <v>0</v>
      </c>
      <c r="L806">
        <v>8</v>
      </c>
      <c r="M806">
        <v>8</v>
      </c>
      <c r="N806">
        <v>4</v>
      </c>
      <c r="O806">
        <v>0</v>
      </c>
      <c r="P806">
        <v>55.2</v>
      </c>
      <c r="Q806">
        <v>35</v>
      </c>
      <c r="R806">
        <v>35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35</v>
      </c>
      <c r="Z806">
        <v>0</v>
      </c>
      <c r="AA806">
        <v>0</v>
      </c>
      <c r="AC806">
        <v>90.2</v>
      </c>
    </row>
    <row r="807" spans="1:29">
      <c r="A807">
        <v>800</v>
      </c>
      <c r="B807">
        <v>4640</v>
      </c>
      <c r="C807" t="s">
        <v>1915</v>
      </c>
      <c r="D807" t="s">
        <v>20</v>
      </c>
      <c r="E807" t="s">
        <v>115</v>
      </c>
      <c r="F807" t="s">
        <v>1916</v>
      </c>
      <c r="G807" t="str">
        <f>"00532379"</f>
        <v>00532379</v>
      </c>
      <c r="H807">
        <v>43.2</v>
      </c>
      <c r="I807">
        <v>0</v>
      </c>
      <c r="M807">
        <v>0</v>
      </c>
      <c r="N807">
        <v>4</v>
      </c>
      <c r="O807">
        <v>0</v>
      </c>
      <c r="P807">
        <v>47.2</v>
      </c>
      <c r="Q807">
        <v>43</v>
      </c>
      <c r="R807">
        <v>43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43</v>
      </c>
      <c r="Z807">
        <v>0</v>
      </c>
      <c r="AA807">
        <v>0</v>
      </c>
      <c r="AC807">
        <v>90.2</v>
      </c>
    </row>
    <row r="808" spans="1:29">
      <c r="A808">
        <v>801</v>
      </c>
      <c r="B808">
        <v>4174</v>
      </c>
      <c r="C808" t="s">
        <v>1917</v>
      </c>
      <c r="D808" t="s">
        <v>27</v>
      </c>
      <c r="E808" t="s">
        <v>36</v>
      </c>
      <c r="F808" t="s">
        <v>1918</v>
      </c>
      <c r="G808" t="str">
        <f>"00482862"</f>
        <v>00482862</v>
      </c>
      <c r="H808">
        <v>35.119999999999997</v>
      </c>
      <c r="I808">
        <v>0</v>
      </c>
      <c r="M808">
        <v>0</v>
      </c>
      <c r="N808">
        <v>4</v>
      </c>
      <c r="O808">
        <v>0</v>
      </c>
      <c r="P808">
        <v>39.119999999999997</v>
      </c>
      <c r="Q808">
        <v>45</v>
      </c>
      <c r="R808">
        <v>45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45</v>
      </c>
      <c r="Z808">
        <v>6</v>
      </c>
      <c r="AA808">
        <v>0</v>
      </c>
      <c r="AC808">
        <v>90.12</v>
      </c>
    </row>
    <row r="809" spans="1:29">
      <c r="A809">
        <v>802</v>
      </c>
      <c r="B809">
        <v>1436</v>
      </c>
      <c r="C809" t="s">
        <v>1919</v>
      </c>
      <c r="D809" t="s">
        <v>1169</v>
      </c>
      <c r="E809" t="s">
        <v>970</v>
      </c>
      <c r="F809" t="s">
        <v>1920</v>
      </c>
      <c r="G809" t="str">
        <f>"00494095"</f>
        <v>00494095</v>
      </c>
      <c r="H809">
        <v>7.2</v>
      </c>
      <c r="I809">
        <v>10</v>
      </c>
      <c r="L809">
        <v>4</v>
      </c>
      <c r="M809">
        <v>4</v>
      </c>
      <c r="N809">
        <v>4</v>
      </c>
      <c r="O809">
        <v>2</v>
      </c>
      <c r="P809">
        <v>27.2</v>
      </c>
      <c r="Q809">
        <v>36</v>
      </c>
      <c r="R809">
        <v>36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36</v>
      </c>
      <c r="Z809">
        <v>0</v>
      </c>
      <c r="AA809">
        <v>26.8</v>
      </c>
      <c r="AC809">
        <v>90</v>
      </c>
    </row>
    <row r="810" spans="1:29">
      <c r="A810">
        <v>803</v>
      </c>
      <c r="B810">
        <v>1907</v>
      </c>
      <c r="C810" t="s">
        <v>1921</v>
      </c>
      <c r="D810" t="s">
        <v>175</v>
      </c>
      <c r="E810" t="s">
        <v>156</v>
      </c>
      <c r="F810" t="s">
        <v>1922</v>
      </c>
      <c r="G810" t="str">
        <f>"00539862"</f>
        <v>00539862</v>
      </c>
      <c r="H810">
        <v>72</v>
      </c>
      <c r="I810">
        <v>0</v>
      </c>
      <c r="J810">
        <v>8</v>
      </c>
      <c r="M810">
        <v>8</v>
      </c>
      <c r="N810">
        <v>4</v>
      </c>
      <c r="O810">
        <v>0</v>
      </c>
      <c r="P810">
        <v>84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6</v>
      </c>
      <c r="AA810">
        <v>0</v>
      </c>
      <c r="AC810">
        <v>90</v>
      </c>
    </row>
    <row r="811" spans="1:29">
      <c r="A811">
        <v>804</v>
      </c>
      <c r="B811">
        <v>2963</v>
      </c>
      <c r="C811" t="s">
        <v>1737</v>
      </c>
      <c r="D811" t="s">
        <v>95</v>
      </c>
      <c r="E811" t="s">
        <v>15</v>
      </c>
      <c r="F811" t="s">
        <v>1923</v>
      </c>
      <c r="G811" t="str">
        <f>"201406004076"</f>
        <v>201406004076</v>
      </c>
      <c r="H811">
        <v>36</v>
      </c>
      <c r="I811">
        <v>0</v>
      </c>
      <c r="L811">
        <v>4</v>
      </c>
      <c r="M811">
        <v>4</v>
      </c>
      <c r="N811">
        <v>4</v>
      </c>
      <c r="O811">
        <v>0</v>
      </c>
      <c r="P811">
        <v>44</v>
      </c>
      <c r="Q811">
        <v>40</v>
      </c>
      <c r="R811">
        <v>40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40</v>
      </c>
      <c r="Z811">
        <v>6</v>
      </c>
      <c r="AA811">
        <v>0</v>
      </c>
      <c r="AC811">
        <v>90</v>
      </c>
    </row>
    <row r="812" spans="1:29">
      <c r="A812">
        <v>805</v>
      </c>
      <c r="B812">
        <v>644</v>
      </c>
      <c r="C812" t="s">
        <v>1924</v>
      </c>
      <c r="D812" t="s">
        <v>1925</v>
      </c>
      <c r="E812" t="s">
        <v>18</v>
      </c>
      <c r="F812" t="s">
        <v>1926</v>
      </c>
      <c r="G812" t="str">
        <f>"00498740"</f>
        <v>00498740</v>
      </c>
      <c r="H812">
        <v>36</v>
      </c>
      <c r="I812">
        <v>0</v>
      </c>
      <c r="J812">
        <v>8</v>
      </c>
      <c r="M812">
        <v>8</v>
      </c>
      <c r="N812">
        <v>4</v>
      </c>
      <c r="O812">
        <v>2</v>
      </c>
      <c r="P812">
        <v>50</v>
      </c>
      <c r="Q812">
        <v>37</v>
      </c>
      <c r="R812">
        <v>37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37</v>
      </c>
      <c r="Z812">
        <v>3</v>
      </c>
      <c r="AA812">
        <v>0</v>
      </c>
      <c r="AC812">
        <v>90</v>
      </c>
    </row>
    <row r="813" spans="1:29">
      <c r="A813">
        <v>806</v>
      </c>
      <c r="B813">
        <v>4181</v>
      </c>
      <c r="C813" t="s">
        <v>961</v>
      </c>
      <c r="D813" t="s">
        <v>1931</v>
      </c>
      <c r="E813" t="s">
        <v>79</v>
      </c>
      <c r="F813" t="s">
        <v>1932</v>
      </c>
      <c r="G813" t="str">
        <f>"00862352"</f>
        <v>00862352</v>
      </c>
      <c r="H813">
        <v>72</v>
      </c>
      <c r="I813">
        <v>10</v>
      </c>
      <c r="L813">
        <v>4</v>
      </c>
      <c r="M813">
        <v>4</v>
      </c>
      <c r="N813">
        <v>4</v>
      </c>
      <c r="O813">
        <v>0</v>
      </c>
      <c r="P813">
        <v>90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C813">
        <v>90</v>
      </c>
    </row>
    <row r="814" spans="1:29">
      <c r="A814">
        <v>807</v>
      </c>
      <c r="B814">
        <v>1</v>
      </c>
      <c r="C814" t="s">
        <v>1927</v>
      </c>
      <c r="D814" t="s">
        <v>1928</v>
      </c>
      <c r="E814" t="s">
        <v>1929</v>
      </c>
      <c r="F814" t="s">
        <v>1930</v>
      </c>
      <c r="G814" t="str">
        <f>"00429794"</f>
        <v>00429794</v>
      </c>
      <c r="H814">
        <v>72</v>
      </c>
      <c r="I814">
        <v>10</v>
      </c>
      <c r="L814">
        <v>4</v>
      </c>
      <c r="M814">
        <v>4</v>
      </c>
      <c r="N814">
        <v>4</v>
      </c>
      <c r="O814">
        <v>0</v>
      </c>
      <c r="P814">
        <v>90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C814">
        <v>90</v>
      </c>
    </row>
    <row r="815" spans="1:29">
      <c r="A815">
        <v>808</v>
      </c>
      <c r="B815">
        <v>4785</v>
      </c>
      <c r="C815" t="s">
        <v>1933</v>
      </c>
      <c r="D815" t="s">
        <v>98</v>
      </c>
      <c r="E815" t="s">
        <v>621</v>
      </c>
      <c r="F815" t="s">
        <v>1934</v>
      </c>
      <c r="G815" t="str">
        <f>"00421953"</f>
        <v>00421953</v>
      </c>
      <c r="H815">
        <v>36</v>
      </c>
      <c r="I815">
        <v>10</v>
      </c>
      <c r="L815">
        <v>4</v>
      </c>
      <c r="M815">
        <v>4</v>
      </c>
      <c r="N815">
        <v>4</v>
      </c>
      <c r="O815">
        <v>2</v>
      </c>
      <c r="P815">
        <v>56</v>
      </c>
      <c r="Q815">
        <v>34</v>
      </c>
      <c r="R815">
        <v>34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34</v>
      </c>
      <c r="Z815">
        <v>0</v>
      </c>
      <c r="AA815">
        <v>0</v>
      </c>
      <c r="AC815">
        <v>90</v>
      </c>
    </row>
    <row r="816" spans="1:29">
      <c r="A816">
        <v>809</v>
      </c>
      <c r="B816">
        <v>2141</v>
      </c>
      <c r="C816" t="s">
        <v>1935</v>
      </c>
      <c r="D816" t="s">
        <v>27</v>
      </c>
      <c r="E816" t="s">
        <v>621</v>
      </c>
      <c r="F816" t="s">
        <v>1936</v>
      </c>
      <c r="G816" t="str">
        <f>"00510748"</f>
        <v>00510748</v>
      </c>
      <c r="H816">
        <v>34.840000000000003</v>
      </c>
      <c r="I816">
        <v>0</v>
      </c>
      <c r="M816">
        <v>0</v>
      </c>
      <c r="N816">
        <v>0</v>
      </c>
      <c r="O816">
        <v>0</v>
      </c>
      <c r="P816">
        <v>34.840000000000003</v>
      </c>
      <c r="Q816">
        <v>52</v>
      </c>
      <c r="R816">
        <v>52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52</v>
      </c>
      <c r="Z816">
        <v>3</v>
      </c>
      <c r="AA816">
        <v>0</v>
      </c>
      <c r="AC816">
        <v>89.84</v>
      </c>
    </row>
    <row r="817" spans="1:29">
      <c r="A817">
        <v>810</v>
      </c>
      <c r="B817">
        <v>1377</v>
      </c>
      <c r="C817" t="s">
        <v>1937</v>
      </c>
      <c r="D817" t="s">
        <v>167</v>
      </c>
      <c r="E817" t="s">
        <v>21</v>
      </c>
      <c r="F817" t="s">
        <v>1938</v>
      </c>
      <c r="G817" t="str">
        <f>"00044692"</f>
        <v>00044692</v>
      </c>
      <c r="H817">
        <v>38.799999999999997</v>
      </c>
      <c r="I817">
        <v>0</v>
      </c>
      <c r="L817">
        <v>4</v>
      </c>
      <c r="M817">
        <v>4</v>
      </c>
      <c r="N817">
        <v>4</v>
      </c>
      <c r="O817">
        <v>0</v>
      </c>
      <c r="P817">
        <v>46.8</v>
      </c>
      <c r="Q817">
        <v>37</v>
      </c>
      <c r="R817">
        <v>37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37</v>
      </c>
      <c r="Z817">
        <v>6</v>
      </c>
      <c r="AA817">
        <v>0</v>
      </c>
      <c r="AC817">
        <v>89.8</v>
      </c>
    </row>
    <row r="818" spans="1:29">
      <c r="A818">
        <v>811</v>
      </c>
      <c r="B818">
        <v>3956</v>
      </c>
      <c r="C818" t="s">
        <v>1939</v>
      </c>
      <c r="D818" t="s">
        <v>35</v>
      </c>
      <c r="E818" t="s">
        <v>436</v>
      </c>
      <c r="F818" t="s">
        <v>1940</v>
      </c>
      <c r="G818" t="str">
        <f>"201511006984"</f>
        <v>201511006984</v>
      </c>
      <c r="H818">
        <v>28.8</v>
      </c>
      <c r="I818">
        <v>0</v>
      </c>
      <c r="L818">
        <v>4</v>
      </c>
      <c r="M818">
        <v>4</v>
      </c>
      <c r="N818">
        <v>4</v>
      </c>
      <c r="O818">
        <v>2</v>
      </c>
      <c r="P818">
        <v>38.799999999999997</v>
      </c>
      <c r="Q818">
        <v>45</v>
      </c>
      <c r="R818">
        <v>45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45</v>
      </c>
      <c r="Z818">
        <v>6</v>
      </c>
      <c r="AA818">
        <v>0</v>
      </c>
      <c r="AC818">
        <v>89.8</v>
      </c>
    </row>
    <row r="819" spans="1:29">
      <c r="A819">
        <v>812</v>
      </c>
      <c r="B819">
        <v>981</v>
      </c>
      <c r="C819" t="s">
        <v>954</v>
      </c>
      <c r="D819" t="s">
        <v>1941</v>
      </c>
      <c r="E819" t="s">
        <v>1942</v>
      </c>
      <c r="F819" t="s">
        <v>1943</v>
      </c>
      <c r="G819" t="str">
        <f>"00441496"</f>
        <v>00441496</v>
      </c>
      <c r="H819">
        <v>28.8</v>
      </c>
      <c r="I819">
        <v>0</v>
      </c>
      <c r="L819">
        <v>4</v>
      </c>
      <c r="M819">
        <v>4</v>
      </c>
      <c r="N819">
        <v>4</v>
      </c>
      <c r="O819">
        <v>0</v>
      </c>
      <c r="P819">
        <v>36.799999999999997</v>
      </c>
      <c r="Q819">
        <v>47</v>
      </c>
      <c r="R819">
        <v>47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47</v>
      </c>
      <c r="Z819">
        <v>6</v>
      </c>
      <c r="AA819">
        <v>0</v>
      </c>
      <c r="AC819">
        <v>89.8</v>
      </c>
    </row>
    <row r="820" spans="1:29">
      <c r="A820">
        <v>813</v>
      </c>
      <c r="B820">
        <v>3306</v>
      </c>
      <c r="C820" t="s">
        <v>1944</v>
      </c>
      <c r="D820" t="s">
        <v>952</v>
      </c>
      <c r="E820" t="s">
        <v>28</v>
      </c>
      <c r="F820" t="s">
        <v>1945</v>
      </c>
      <c r="G820" t="str">
        <f>"00503685"</f>
        <v>00503685</v>
      </c>
      <c r="H820">
        <v>24.72</v>
      </c>
      <c r="I820">
        <v>0</v>
      </c>
      <c r="L820">
        <v>4</v>
      </c>
      <c r="M820">
        <v>4</v>
      </c>
      <c r="N820">
        <v>4</v>
      </c>
      <c r="O820">
        <v>2</v>
      </c>
      <c r="P820">
        <v>34.72</v>
      </c>
      <c r="Q820">
        <v>52</v>
      </c>
      <c r="R820">
        <v>52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52</v>
      </c>
      <c r="Z820">
        <v>3</v>
      </c>
      <c r="AA820">
        <v>0</v>
      </c>
      <c r="AC820">
        <v>89.72</v>
      </c>
    </row>
    <row r="821" spans="1:29">
      <c r="A821">
        <v>814</v>
      </c>
      <c r="B821">
        <v>3714</v>
      </c>
      <c r="C821" t="s">
        <v>1946</v>
      </c>
      <c r="D821" t="s">
        <v>336</v>
      </c>
      <c r="E821" t="s">
        <v>36</v>
      </c>
      <c r="F821" t="s">
        <v>1947</v>
      </c>
      <c r="G821" t="str">
        <f>"00441546"</f>
        <v>00441546</v>
      </c>
      <c r="H821">
        <v>31.72</v>
      </c>
      <c r="I821">
        <v>0</v>
      </c>
      <c r="M821">
        <v>0</v>
      </c>
      <c r="N821">
        <v>0</v>
      </c>
      <c r="O821">
        <v>0</v>
      </c>
      <c r="P821">
        <v>31.72</v>
      </c>
      <c r="Q821">
        <v>58</v>
      </c>
      <c r="R821">
        <v>58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58</v>
      </c>
      <c r="Z821">
        <v>0</v>
      </c>
      <c r="AA821">
        <v>0</v>
      </c>
      <c r="AC821">
        <v>89.72</v>
      </c>
    </row>
    <row r="822" spans="1:29">
      <c r="A822">
        <v>815</v>
      </c>
      <c r="B822">
        <v>2034</v>
      </c>
      <c r="C822" t="s">
        <v>1948</v>
      </c>
      <c r="D822" t="s">
        <v>374</v>
      </c>
      <c r="E822" t="s">
        <v>36</v>
      </c>
      <c r="F822" t="s">
        <v>1949</v>
      </c>
      <c r="G822" t="str">
        <f>"00464297"</f>
        <v>00464297</v>
      </c>
      <c r="H822">
        <v>57.6</v>
      </c>
      <c r="I822">
        <v>10</v>
      </c>
      <c r="L822">
        <v>4</v>
      </c>
      <c r="M822">
        <v>4</v>
      </c>
      <c r="N822">
        <v>4</v>
      </c>
      <c r="O822">
        <v>0</v>
      </c>
      <c r="P822">
        <v>75.599999999999994</v>
      </c>
      <c r="Q822">
        <v>8</v>
      </c>
      <c r="R822">
        <v>8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8</v>
      </c>
      <c r="Z822">
        <v>6</v>
      </c>
      <c r="AA822">
        <v>0</v>
      </c>
      <c r="AC822">
        <v>89.6</v>
      </c>
    </row>
    <row r="823" spans="1:29">
      <c r="A823">
        <v>816</v>
      </c>
      <c r="B823">
        <v>816</v>
      </c>
      <c r="C823" t="s">
        <v>1950</v>
      </c>
      <c r="D823" t="s">
        <v>39</v>
      </c>
      <c r="E823" t="s">
        <v>79</v>
      </c>
      <c r="F823" t="s">
        <v>1951</v>
      </c>
      <c r="G823" t="str">
        <f>"00425873"</f>
        <v>00425873</v>
      </c>
      <c r="H823">
        <v>57.6</v>
      </c>
      <c r="I823">
        <v>0</v>
      </c>
      <c r="L823">
        <v>4</v>
      </c>
      <c r="M823">
        <v>4</v>
      </c>
      <c r="N823">
        <v>4</v>
      </c>
      <c r="O823">
        <v>0</v>
      </c>
      <c r="P823">
        <v>65.599999999999994</v>
      </c>
      <c r="Q823">
        <v>18</v>
      </c>
      <c r="R823">
        <v>18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18</v>
      </c>
      <c r="Z823">
        <v>6</v>
      </c>
      <c r="AA823">
        <v>0</v>
      </c>
      <c r="AC823">
        <v>89.6</v>
      </c>
    </row>
    <row r="824" spans="1:29">
      <c r="A824">
        <v>817</v>
      </c>
      <c r="B824">
        <v>4438</v>
      </c>
      <c r="C824" t="s">
        <v>1952</v>
      </c>
      <c r="D824" t="s">
        <v>95</v>
      </c>
      <c r="E824" t="s">
        <v>419</v>
      </c>
      <c r="F824" t="s">
        <v>1953</v>
      </c>
      <c r="G824" t="str">
        <f>"00530468"</f>
        <v>00530468</v>
      </c>
      <c r="H824">
        <v>57.6</v>
      </c>
      <c r="I824">
        <v>10</v>
      </c>
      <c r="L824">
        <v>4</v>
      </c>
      <c r="M824">
        <v>4</v>
      </c>
      <c r="N824">
        <v>4</v>
      </c>
      <c r="O824">
        <v>2</v>
      </c>
      <c r="P824">
        <v>77.599999999999994</v>
      </c>
      <c r="Q824">
        <v>12</v>
      </c>
      <c r="R824">
        <v>12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12</v>
      </c>
      <c r="Z824">
        <v>0</v>
      </c>
      <c r="AA824">
        <v>0</v>
      </c>
      <c r="AC824">
        <v>89.6</v>
      </c>
    </row>
    <row r="825" spans="1:29">
      <c r="A825">
        <v>818</v>
      </c>
      <c r="B825">
        <v>4006</v>
      </c>
      <c r="C825" t="s">
        <v>1957</v>
      </c>
      <c r="D825" t="s">
        <v>1958</v>
      </c>
      <c r="E825" t="s">
        <v>115</v>
      </c>
      <c r="F825" t="s">
        <v>1959</v>
      </c>
      <c r="G825" t="str">
        <f>"00130007"</f>
        <v>00130007</v>
      </c>
      <c r="H825">
        <v>57.6</v>
      </c>
      <c r="I825">
        <v>0</v>
      </c>
      <c r="J825">
        <v>8</v>
      </c>
      <c r="M825">
        <v>8</v>
      </c>
      <c r="N825">
        <v>4</v>
      </c>
      <c r="O825">
        <v>2</v>
      </c>
      <c r="P825">
        <v>71.599999999999994</v>
      </c>
      <c r="Q825">
        <v>18</v>
      </c>
      <c r="R825">
        <v>18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18</v>
      </c>
      <c r="Z825">
        <v>0</v>
      </c>
      <c r="AA825">
        <v>0</v>
      </c>
      <c r="AC825">
        <v>89.6</v>
      </c>
    </row>
    <row r="826" spans="1:29">
      <c r="A826">
        <v>819</v>
      </c>
      <c r="B826">
        <v>284</v>
      </c>
      <c r="C826" t="s">
        <v>1753</v>
      </c>
      <c r="D826" t="s">
        <v>175</v>
      </c>
      <c r="E826" t="s">
        <v>36</v>
      </c>
      <c r="F826" t="s">
        <v>1954</v>
      </c>
      <c r="G826" t="str">
        <f>"00330838"</f>
        <v>00330838</v>
      </c>
      <c r="H826">
        <v>57.6</v>
      </c>
      <c r="I826">
        <v>0</v>
      </c>
      <c r="J826">
        <v>8</v>
      </c>
      <c r="M826">
        <v>8</v>
      </c>
      <c r="N826">
        <v>4</v>
      </c>
      <c r="O826">
        <v>2</v>
      </c>
      <c r="P826">
        <v>71.599999999999994</v>
      </c>
      <c r="Q826">
        <v>18</v>
      </c>
      <c r="R826">
        <v>18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18</v>
      </c>
      <c r="Z826">
        <v>0</v>
      </c>
      <c r="AA826">
        <v>0</v>
      </c>
      <c r="AC826">
        <v>89.6</v>
      </c>
    </row>
    <row r="827" spans="1:29">
      <c r="A827">
        <v>820</v>
      </c>
      <c r="B827">
        <v>3848</v>
      </c>
      <c r="C827" t="s">
        <v>163</v>
      </c>
      <c r="D827" t="s">
        <v>1413</v>
      </c>
      <c r="E827" t="s">
        <v>1020</v>
      </c>
      <c r="F827" t="s">
        <v>1955</v>
      </c>
      <c r="G827" t="str">
        <f>"00529126"</f>
        <v>00529126</v>
      </c>
      <c r="H827">
        <v>57.6</v>
      </c>
      <c r="I827">
        <v>0</v>
      </c>
      <c r="J827">
        <v>8</v>
      </c>
      <c r="M827">
        <v>8</v>
      </c>
      <c r="N827">
        <v>4</v>
      </c>
      <c r="O827">
        <v>2</v>
      </c>
      <c r="P827">
        <v>71.599999999999994</v>
      </c>
      <c r="Q827">
        <v>18</v>
      </c>
      <c r="R827">
        <v>18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18</v>
      </c>
      <c r="Z827">
        <v>0</v>
      </c>
      <c r="AA827">
        <v>0</v>
      </c>
      <c r="AC827">
        <v>89.6</v>
      </c>
    </row>
    <row r="828" spans="1:29">
      <c r="A828">
        <v>821</v>
      </c>
      <c r="B828">
        <v>1481</v>
      </c>
      <c r="C828" t="s">
        <v>924</v>
      </c>
      <c r="D828" t="s">
        <v>141</v>
      </c>
      <c r="E828" t="s">
        <v>15</v>
      </c>
      <c r="F828" t="s">
        <v>1956</v>
      </c>
      <c r="G828" t="str">
        <f>"201511036775"</f>
        <v>201511036775</v>
      </c>
      <c r="H828">
        <v>57.6</v>
      </c>
      <c r="I828">
        <v>0</v>
      </c>
      <c r="J828">
        <v>8</v>
      </c>
      <c r="M828">
        <v>8</v>
      </c>
      <c r="N828">
        <v>4</v>
      </c>
      <c r="O828">
        <v>2</v>
      </c>
      <c r="P828">
        <v>71.599999999999994</v>
      </c>
      <c r="Q828">
        <v>18</v>
      </c>
      <c r="R828">
        <v>18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18</v>
      </c>
      <c r="Z828">
        <v>0</v>
      </c>
      <c r="AA828">
        <v>0</v>
      </c>
      <c r="AC828">
        <v>89.6</v>
      </c>
    </row>
    <row r="829" spans="1:29">
      <c r="A829">
        <v>822</v>
      </c>
      <c r="B829">
        <v>2612</v>
      </c>
      <c r="C829" t="s">
        <v>1960</v>
      </c>
      <c r="D829" t="s">
        <v>31</v>
      </c>
      <c r="E829" t="s">
        <v>233</v>
      </c>
      <c r="F829" t="s">
        <v>1961</v>
      </c>
      <c r="G829" t="str">
        <f>"00150346"</f>
        <v>00150346</v>
      </c>
      <c r="H829">
        <v>57.6</v>
      </c>
      <c r="I829">
        <v>0</v>
      </c>
      <c r="J829">
        <v>8</v>
      </c>
      <c r="M829">
        <v>8</v>
      </c>
      <c r="N829">
        <v>4</v>
      </c>
      <c r="O829">
        <v>2</v>
      </c>
      <c r="P829">
        <v>71.599999999999994</v>
      </c>
      <c r="Q829">
        <v>18</v>
      </c>
      <c r="R829">
        <v>18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18</v>
      </c>
      <c r="Z829">
        <v>0</v>
      </c>
      <c r="AA829">
        <v>0</v>
      </c>
      <c r="AC829">
        <v>89.6</v>
      </c>
    </row>
    <row r="830" spans="1:29">
      <c r="A830">
        <v>823</v>
      </c>
      <c r="B830">
        <v>3512</v>
      </c>
      <c r="C830" t="s">
        <v>1962</v>
      </c>
      <c r="D830" t="s">
        <v>276</v>
      </c>
      <c r="E830" t="s">
        <v>50</v>
      </c>
      <c r="F830" t="s">
        <v>1963</v>
      </c>
      <c r="G830" t="str">
        <f>"201511015424"</f>
        <v>201511015424</v>
      </c>
      <c r="H830">
        <v>33.6</v>
      </c>
      <c r="I830">
        <v>0</v>
      </c>
      <c r="J830">
        <v>8</v>
      </c>
      <c r="M830">
        <v>8</v>
      </c>
      <c r="N830">
        <v>4</v>
      </c>
      <c r="O830">
        <v>2</v>
      </c>
      <c r="P830">
        <v>47.6</v>
      </c>
      <c r="Q830">
        <v>42</v>
      </c>
      <c r="R830">
        <v>42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42</v>
      </c>
      <c r="Z830">
        <v>0</v>
      </c>
      <c r="AA830">
        <v>0</v>
      </c>
      <c r="AC830">
        <v>89.6</v>
      </c>
    </row>
    <row r="831" spans="1:29">
      <c r="A831">
        <v>824</v>
      </c>
      <c r="B831">
        <v>3571</v>
      </c>
      <c r="C831" t="s">
        <v>1964</v>
      </c>
      <c r="D831" t="s">
        <v>95</v>
      </c>
      <c r="E831" t="s">
        <v>187</v>
      </c>
      <c r="F831" t="s">
        <v>1965</v>
      </c>
      <c r="G831" t="str">
        <f>"00442380"</f>
        <v>00442380</v>
      </c>
      <c r="H831">
        <v>21.6</v>
      </c>
      <c r="I831">
        <v>10</v>
      </c>
      <c r="L831">
        <v>4</v>
      </c>
      <c r="M831">
        <v>4</v>
      </c>
      <c r="N831">
        <v>4</v>
      </c>
      <c r="O831">
        <v>2</v>
      </c>
      <c r="P831">
        <v>41.6</v>
      </c>
      <c r="Q831">
        <v>48</v>
      </c>
      <c r="R831">
        <v>48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48</v>
      </c>
      <c r="Z831">
        <v>0</v>
      </c>
      <c r="AA831">
        <v>0</v>
      </c>
      <c r="AC831">
        <v>89.6</v>
      </c>
    </row>
    <row r="832" spans="1:29">
      <c r="A832">
        <v>825</v>
      </c>
      <c r="B832">
        <v>231</v>
      </c>
      <c r="C832" t="s">
        <v>1966</v>
      </c>
      <c r="D832" t="s">
        <v>159</v>
      </c>
      <c r="E832" t="s">
        <v>18</v>
      </c>
      <c r="F832" t="s">
        <v>1967</v>
      </c>
      <c r="G832" t="str">
        <f>"00150921"</f>
        <v>00150921</v>
      </c>
      <c r="H832">
        <v>21.6</v>
      </c>
      <c r="I832">
        <v>10</v>
      </c>
      <c r="M832">
        <v>0</v>
      </c>
      <c r="N832">
        <v>4</v>
      </c>
      <c r="O832">
        <v>2</v>
      </c>
      <c r="P832">
        <v>37.6</v>
      </c>
      <c r="Q832">
        <v>52</v>
      </c>
      <c r="R832">
        <v>52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52</v>
      </c>
      <c r="Z832">
        <v>0</v>
      </c>
      <c r="AA832">
        <v>0</v>
      </c>
      <c r="AC832">
        <v>89.6</v>
      </c>
    </row>
    <row r="833" spans="1:29">
      <c r="A833">
        <v>826</v>
      </c>
      <c r="B833">
        <v>974</v>
      </c>
      <c r="C833" t="s">
        <v>1968</v>
      </c>
      <c r="D833" t="s">
        <v>733</v>
      </c>
      <c r="E833" t="s">
        <v>156</v>
      </c>
      <c r="F833" t="s">
        <v>1969</v>
      </c>
      <c r="G833" t="str">
        <f>"00161241"</f>
        <v>00161241</v>
      </c>
      <c r="H833">
        <v>21.6</v>
      </c>
      <c r="I833">
        <v>0</v>
      </c>
      <c r="L833">
        <v>4</v>
      </c>
      <c r="M833">
        <v>4</v>
      </c>
      <c r="N833">
        <v>4</v>
      </c>
      <c r="O833">
        <v>2</v>
      </c>
      <c r="P833">
        <v>31.6</v>
      </c>
      <c r="Q833">
        <v>58</v>
      </c>
      <c r="R833">
        <v>58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58</v>
      </c>
      <c r="Z833">
        <v>0</v>
      </c>
      <c r="AA833">
        <v>0</v>
      </c>
      <c r="AC833">
        <v>89.6</v>
      </c>
    </row>
    <row r="834" spans="1:29">
      <c r="A834">
        <v>827</v>
      </c>
      <c r="B834">
        <v>514</v>
      </c>
      <c r="C834" t="s">
        <v>1970</v>
      </c>
      <c r="D834" t="s">
        <v>261</v>
      </c>
      <c r="E834" t="s">
        <v>134</v>
      </c>
      <c r="F834" t="s">
        <v>1971</v>
      </c>
      <c r="G834" t="str">
        <f>"00490125"</f>
        <v>00490125</v>
      </c>
      <c r="H834">
        <v>50.4</v>
      </c>
      <c r="I834">
        <v>10</v>
      </c>
      <c r="M834">
        <v>0</v>
      </c>
      <c r="N834">
        <v>4</v>
      </c>
      <c r="O834">
        <v>0</v>
      </c>
      <c r="P834">
        <v>64.400000000000006</v>
      </c>
      <c r="Q834">
        <v>19</v>
      </c>
      <c r="R834">
        <v>19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19</v>
      </c>
      <c r="Z834">
        <v>6</v>
      </c>
      <c r="AA834">
        <v>0</v>
      </c>
      <c r="AC834">
        <v>89.4</v>
      </c>
    </row>
    <row r="835" spans="1:29">
      <c r="A835">
        <v>828</v>
      </c>
      <c r="B835">
        <v>2076</v>
      </c>
      <c r="C835" t="s">
        <v>1765</v>
      </c>
      <c r="D835" t="s">
        <v>164</v>
      </c>
      <c r="E835" t="s">
        <v>36</v>
      </c>
      <c r="F835" t="s">
        <v>1972</v>
      </c>
      <c r="G835" t="str">
        <f>"00513024"</f>
        <v>00513024</v>
      </c>
      <c r="H835">
        <v>14.4</v>
      </c>
      <c r="I835">
        <v>0</v>
      </c>
      <c r="J835">
        <v>8</v>
      </c>
      <c r="M835">
        <v>8</v>
      </c>
      <c r="N835">
        <v>4</v>
      </c>
      <c r="O835">
        <v>2</v>
      </c>
      <c r="P835">
        <v>28.4</v>
      </c>
      <c r="Q835">
        <v>61</v>
      </c>
      <c r="R835">
        <v>61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61</v>
      </c>
      <c r="Z835">
        <v>0</v>
      </c>
      <c r="AA835">
        <v>0</v>
      </c>
      <c r="AC835">
        <v>89.4</v>
      </c>
    </row>
    <row r="836" spans="1:29">
      <c r="A836">
        <v>829</v>
      </c>
      <c r="B836">
        <v>1315</v>
      </c>
      <c r="C836" t="s">
        <v>1973</v>
      </c>
      <c r="D836" t="s">
        <v>145</v>
      </c>
      <c r="E836" t="s">
        <v>115</v>
      </c>
      <c r="F836" t="s">
        <v>1974</v>
      </c>
      <c r="G836" t="str">
        <f>"00512112"</f>
        <v>00512112</v>
      </c>
      <c r="H836">
        <v>27.28</v>
      </c>
      <c r="I836">
        <v>10</v>
      </c>
      <c r="M836">
        <v>0</v>
      </c>
      <c r="N836">
        <v>4</v>
      </c>
      <c r="O836">
        <v>0</v>
      </c>
      <c r="P836">
        <v>41.28</v>
      </c>
      <c r="Q836">
        <v>45</v>
      </c>
      <c r="R836">
        <v>45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45</v>
      </c>
      <c r="Z836">
        <v>3</v>
      </c>
      <c r="AA836">
        <v>0</v>
      </c>
      <c r="AC836">
        <v>89.28</v>
      </c>
    </row>
    <row r="837" spans="1:29">
      <c r="A837">
        <v>830</v>
      </c>
      <c r="B837">
        <v>3962</v>
      </c>
      <c r="C837" t="s">
        <v>1975</v>
      </c>
      <c r="D837" t="s">
        <v>145</v>
      </c>
      <c r="E837" t="s">
        <v>18</v>
      </c>
      <c r="F837" t="s">
        <v>1976</v>
      </c>
      <c r="G837" t="str">
        <f>"00490660"</f>
        <v>00490660</v>
      </c>
      <c r="H837">
        <v>39.200000000000003</v>
      </c>
      <c r="I837">
        <v>10</v>
      </c>
      <c r="J837">
        <v>8</v>
      </c>
      <c r="M837">
        <v>8</v>
      </c>
      <c r="N837">
        <v>4</v>
      </c>
      <c r="O837">
        <v>2</v>
      </c>
      <c r="P837">
        <v>63.2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6</v>
      </c>
      <c r="AA837">
        <v>20</v>
      </c>
      <c r="AC837">
        <v>89.2</v>
      </c>
    </row>
    <row r="838" spans="1:29">
      <c r="A838">
        <v>831</v>
      </c>
      <c r="B838">
        <v>2008</v>
      </c>
      <c r="C838" t="s">
        <v>636</v>
      </c>
      <c r="D838" t="s">
        <v>1977</v>
      </c>
      <c r="E838" t="s">
        <v>134</v>
      </c>
      <c r="F838" t="s">
        <v>1978</v>
      </c>
      <c r="G838" t="str">
        <f>"00531443"</f>
        <v>00531443</v>
      </c>
      <c r="H838">
        <v>43.2</v>
      </c>
      <c r="I838">
        <v>0</v>
      </c>
      <c r="M838">
        <v>0</v>
      </c>
      <c r="N838">
        <v>4</v>
      </c>
      <c r="O838">
        <v>0</v>
      </c>
      <c r="P838">
        <v>47.2</v>
      </c>
      <c r="Q838">
        <v>36</v>
      </c>
      <c r="R838">
        <v>36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36</v>
      </c>
      <c r="Z838">
        <v>6</v>
      </c>
      <c r="AA838">
        <v>0</v>
      </c>
      <c r="AC838">
        <v>89.2</v>
      </c>
    </row>
    <row r="839" spans="1:29">
      <c r="A839">
        <v>832</v>
      </c>
      <c r="B839">
        <v>59</v>
      </c>
      <c r="C839" t="s">
        <v>1979</v>
      </c>
      <c r="D839" t="s">
        <v>790</v>
      </c>
      <c r="E839" t="s">
        <v>379</v>
      </c>
      <c r="F839" t="s">
        <v>1980</v>
      </c>
      <c r="G839" t="str">
        <f>"00263529"</f>
        <v>00263529</v>
      </c>
      <c r="H839">
        <v>43.2</v>
      </c>
      <c r="I839">
        <v>0</v>
      </c>
      <c r="M839">
        <v>0</v>
      </c>
      <c r="N839">
        <v>4</v>
      </c>
      <c r="O839">
        <v>0</v>
      </c>
      <c r="P839">
        <v>47.2</v>
      </c>
      <c r="Q839">
        <v>36</v>
      </c>
      <c r="R839">
        <v>36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36</v>
      </c>
      <c r="Z839">
        <v>6</v>
      </c>
      <c r="AA839">
        <v>0</v>
      </c>
      <c r="AC839">
        <v>89.2</v>
      </c>
    </row>
    <row r="840" spans="1:29">
      <c r="A840">
        <v>833</v>
      </c>
      <c r="B840">
        <v>1273</v>
      </c>
      <c r="C840" t="s">
        <v>1981</v>
      </c>
      <c r="D840" t="s">
        <v>170</v>
      </c>
      <c r="E840" t="s">
        <v>227</v>
      </c>
      <c r="F840" t="s">
        <v>1982</v>
      </c>
      <c r="G840" t="str">
        <f>"00523445"</f>
        <v>00523445</v>
      </c>
      <c r="H840">
        <v>43.2</v>
      </c>
      <c r="I840">
        <v>0</v>
      </c>
      <c r="M840">
        <v>0</v>
      </c>
      <c r="N840">
        <v>0</v>
      </c>
      <c r="O840">
        <v>0</v>
      </c>
      <c r="P840">
        <v>43.2</v>
      </c>
      <c r="Q840">
        <v>40</v>
      </c>
      <c r="R840">
        <v>40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40</v>
      </c>
      <c r="Z840">
        <v>6</v>
      </c>
      <c r="AA840">
        <v>0</v>
      </c>
      <c r="AC840">
        <v>89.2</v>
      </c>
    </row>
    <row r="841" spans="1:29">
      <c r="A841">
        <v>834</v>
      </c>
      <c r="B841">
        <v>3647</v>
      </c>
      <c r="C841" t="s">
        <v>1983</v>
      </c>
      <c r="D841" t="s">
        <v>164</v>
      </c>
      <c r="E841" t="s">
        <v>36</v>
      </c>
      <c r="F841" t="s">
        <v>1984</v>
      </c>
      <c r="G841" t="str">
        <f>"00069645"</f>
        <v>00069645</v>
      </c>
      <c r="H841">
        <v>19.2</v>
      </c>
      <c r="I841">
        <v>10</v>
      </c>
      <c r="L841">
        <v>4</v>
      </c>
      <c r="M841">
        <v>4</v>
      </c>
      <c r="N841">
        <v>4</v>
      </c>
      <c r="O841">
        <v>2</v>
      </c>
      <c r="P841">
        <v>39.200000000000003</v>
      </c>
      <c r="Q841">
        <v>44</v>
      </c>
      <c r="R841">
        <v>44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44</v>
      </c>
      <c r="Z841">
        <v>6</v>
      </c>
      <c r="AA841">
        <v>0</v>
      </c>
      <c r="AC841">
        <v>89.2</v>
      </c>
    </row>
    <row r="842" spans="1:29">
      <c r="A842">
        <v>835</v>
      </c>
      <c r="B842">
        <v>2305</v>
      </c>
      <c r="C842" t="s">
        <v>1985</v>
      </c>
      <c r="D842" t="s">
        <v>608</v>
      </c>
      <c r="E842" t="s">
        <v>1986</v>
      </c>
      <c r="F842" t="s">
        <v>1987</v>
      </c>
      <c r="G842" t="str">
        <f>"00480055"</f>
        <v>00480055</v>
      </c>
      <c r="H842">
        <v>43.2</v>
      </c>
      <c r="I842">
        <v>0</v>
      </c>
      <c r="L842">
        <v>4</v>
      </c>
      <c r="M842">
        <v>4</v>
      </c>
      <c r="N842">
        <v>4</v>
      </c>
      <c r="O842">
        <v>0</v>
      </c>
      <c r="P842">
        <v>51.2</v>
      </c>
      <c r="Q842">
        <v>35</v>
      </c>
      <c r="R842">
        <v>35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35</v>
      </c>
      <c r="Z842">
        <v>3</v>
      </c>
      <c r="AA842">
        <v>0</v>
      </c>
      <c r="AC842">
        <v>89.2</v>
      </c>
    </row>
    <row r="843" spans="1:29">
      <c r="A843">
        <v>836</v>
      </c>
      <c r="B843">
        <v>3972</v>
      </c>
      <c r="C843" t="s">
        <v>1988</v>
      </c>
      <c r="D843" t="s">
        <v>465</v>
      </c>
      <c r="E843" t="s">
        <v>156</v>
      </c>
      <c r="F843" t="s">
        <v>1989</v>
      </c>
      <c r="G843" t="str">
        <f>"00184556"</f>
        <v>00184556</v>
      </c>
      <c r="H843">
        <v>38.200000000000003</v>
      </c>
      <c r="I843">
        <v>0</v>
      </c>
      <c r="J843">
        <v>8</v>
      </c>
      <c r="M843">
        <v>8</v>
      </c>
      <c r="N843">
        <v>4</v>
      </c>
      <c r="O843">
        <v>0</v>
      </c>
      <c r="P843">
        <v>50.2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12</v>
      </c>
      <c r="AA843">
        <v>26.8</v>
      </c>
      <c r="AC843">
        <v>89</v>
      </c>
    </row>
    <row r="844" spans="1:29">
      <c r="A844">
        <v>837</v>
      </c>
      <c r="B844">
        <v>4206</v>
      </c>
      <c r="C844" t="s">
        <v>1990</v>
      </c>
      <c r="D844" t="s">
        <v>145</v>
      </c>
      <c r="E844" t="s">
        <v>451</v>
      </c>
      <c r="F844" t="s">
        <v>1991</v>
      </c>
      <c r="G844" t="str">
        <f>"00517653"</f>
        <v>00517653</v>
      </c>
      <c r="H844">
        <v>24</v>
      </c>
      <c r="I844">
        <v>0</v>
      </c>
      <c r="M844">
        <v>0</v>
      </c>
      <c r="N844">
        <v>4</v>
      </c>
      <c r="O844">
        <v>0</v>
      </c>
      <c r="P844">
        <v>28</v>
      </c>
      <c r="Q844">
        <v>55</v>
      </c>
      <c r="R844">
        <v>55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55</v>
      </c>
      <c r="Z844">
        <v>6</v>
      </c>
      <c r="AA844">
        <v>0</v>
      </c>
      <c r="AC844">
        <v>89</v>
      </c>
    </row>
    <row r="845" spans="1:29">
      <c r="A845">
        <v>838</v>
      </c>
      <c r="B845">
        <v>1368</v>
      </c>
      <c r="C845" t="s">
        <v>927</v>
      </c>
      <c r="D845" t="s">
        <v>1992</v>
      </c>
      <c r="E845" t="s">
        <v>227</v>
      </c>
      <c r="F845" t="s">
        <v>1993</v>
      </c>
      <c r="G845" t="str">
        <f>"00572865"</f>
        <v>00572865</v>
      </c>
      <c r="H845">
        <v>72</v>
      </c>
      <c r="I845">
        <v>10</v>
      </c>
      <c r="M845">
        <v>0</v>
      </c>
      <c r="N845">
        <v>4</v>
      </c>
      <c r="O845">
        <v>0</v>
      </c>
      <c r="P845">
        <v>86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3</v>
      </c>
      <c r="AA845">
        <v>0</v>
      </c>
      <c r="AC845">
        <v>89</v>
      </c>
    </row>
    <row r="846" spans="1:29">
      <c r="A846">
        <v>839</v>
      </c>
      <c r="B846">
        <v>1104</v>
      </c>
      <c r="C846" t="s">
        <v>1994</v>
      </c>
      <c r="D846" t="s">
        <v>98</v>
      </c>
      <c r="E846" t="s">
        <v>115</v>
      </c>
      <c r="F846" t="s">
        <v>1995</v>
      </c>
      <c r="G846" t="str">
        <f>"00316293"</f>
        <v>00316293</v>
      </c>
      <c r="H846">
        <v>33.880000000000003</v>
      </c>
      <c r="I846">
        <v>10</v>
      </c>
      <c r="L846">
        <v>4</v>
      </c>
      <c r="M846">
        <v>4</v>
      </c>
      <c r="N846">
        <v>4</v>
      </c>
      <c r="O846">
        <v>2</v>
      </c>
      <c r="P846">
        <v>53.88</v>
      </c>
      <c r="Q846">
        <v>29</v>
      </c>
      <c r="R846">
        <v>29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29</v>
      </c>
      <c r="Z846">
        <v>6</v>
      </c>
      <c r="AA846">
        <v>0</v>
      </c>
      <c r="AC846">
        <v>88.88</v>
      </c>
    </row>
    <row r="847" spans="1:29">
      <c r="A847">
        <v>840</v>
      </c>
      <c r="B847">
        <v>4098</v>
      </c>
      <c r="C847" t="s">
        <v>1303</v>
      </c>
      <c r="D847" t="s">
        <v>276</v>
      </c>
      <c r="E847" t="s">
        <v>115</v>
      </c>
      <c r="F847" t="s">
        <v>1996</v>
      </c>
      <c r="G847" t="str">
        <f>"00380904"</f>
        <v>00380904</v>
      </c>
      <c r="H847">
        <v>28.8</v>
      </c>
      <c r="I847">
        <v>0</v>
      </c>
      <c r="J847">
        <v>8</v>
      </c>
      <c r="M847">
        <v>8</v>
      </c>
      <c r="N847">
        <v>4</v>
      </c>
      <c r="O847">
        <v>2</v>
      </c>
      <c r="P847">
        <v>42.8</v>
      </c>
      <c r="Q847">
        <v>37</v>
      </c>
      <c r="R847">
        <v>37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37</v>
      </c>
      <c r="Z847">
        <v>9</v>
      </c>
      <c r="AA847">
        <v>0</v>
      </c>
      <c r="AC847">
        <v>88.8</v>
      </c>
    </row>
    <row r="848" spans="1:29">
      <c r="A848">
        <v>841</v>
      </c>
      <c r="B848">
        <v>4878</v>
      </c>
      <c r="C848" t="s">
        <v>1997</v>
      </c>
      <c r="D848" t="s">
        <v>179</v>
      </c>
      <c r="E848" t="s">
        <v>18</v>
      </c>
      <c r="F848" t="s">
        <v>1998</v>
      </c>
      <c r="G848" t="str">
        <f>"00575647"</f>
        <v>00575647</v>
      </c>
      <c r="H848">
        <v>64.8</v>
      </c>
      <c r="I848">
        <v>0</v>
      </c>
      <c r="J848">
        <v>8</v>
      </c>
      <c r="L848">
        <v>4</v>
      </c>
      <c r="M848">
        <v>12</v>
      </c>
      <c r="N848">
        <v>4</v>
      </c>
      <c r="O848">
        <v>2</v>
      </c>
      <c r="P848">
        <v>82.8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6</v>
      </c>
      <c r="AA848">
        <v>0</v>
      </c>
      <c r="AC848">
        <v>88.8</v>
      </c>
    </row>
    <row r="849" spans="1:29">
      <c r="A849">
        <v>842</v>
      </c>
      <c r="B849">
        <v>1619</v>
      </c>
      <c r="C849" t="s">
        <v>1999</v>
      </c>
      <c r="D849" t="s">
        <v>2000</v>
      </c>
      <c r="E849" t="s">
        <v>2001</v>
      </c>
      <c r="F849" t="s">
        <v>2002</v>
      </c>
      <c r="G849" t="str">
        <f>"00474153"</f>
        <v>00474153</v>
      </c>
      <c r="H849">
        <v>64.8</v>
      </c>
      <c r="I849">
        <v>10</v>
      </c>
      <c r="L849">
        <v>4</v>
      </c>
      <c r="M849">
        <v>4</v>
      </c>
      <c r="N849">
        <v>4</v>
      </c>
      <c r="O849">
        <v>2</v>
      </c>
      <c r="P849">
        <v>84.8</v>
      </c>
      <c r="Q849">
        <v>1</v>
      </c>
      <c r="R849">
        <v>1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1</v>
      </c>
      <c r="Z849">
        <v>3</v>
      </c>
      <c r="AA849">
        <v>0</v>
      </c>
      <c r="AC849">
        <v>88.8</v>
      </c>
    </row>
    <row r="850" spans="1:29">
      <c r="A850">
        <v>843</v>
      </c>
      <c r="B850">
        <v>2304</v>
      </c>
      <c r="C850" t="s">
        <v>2003</v>
      </c>
      <c r="D850" t="s">
        <v>20</v>
      </c>
      <c r="E850" t="s">
        <v>15</v>
      </c>
      <c r="F850" t="s">
        <v>2004</v>
      </c>
      <c r="G850" t="str">
        <f>"00531085"</f>
        <v>00531085</v>
      </c>
      <c r="H850">
        <v>64.8</v>
      </c>
      <c r="I850">
        <v>0</v>
      </c>
      <c r="M850">
        <v>0</v>
      </c>
      <c r="N850">
        <v>4</v>
      </c>
      <c r="O850">
        <v>2</v>
      </c>
      <c r="P850">
        <v>70.8</v>
      </c>
      <c r="Q850">
        <v>18</v>
      </c>
      <c r="R850">
        <v>18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18</v>
      </c>
      <c r="Z850">
        <v>0</v>
      </c>
      <c r="AA850">
        <v>0</v>
      </c>
      <c r="AC850">
        <v>88.8</v>
      </c>
    </row>
    <row r="851" spans="1:29">
      <c r="A851">
        <v>844</v>
      </c>
      <c r="B851">
        <v>2962</v>
      </c>
      <c r="C851" t="s">
        <v>2005</v>
      </c>
      <c r="D851" t="s">
        <v>27</v>
      </c>
      <c r="E851" t="s">
        <v>796</v>
      </c>
      <c r="F851" t="s">
        <v>2006</v>
      </c>
      <c r="G851" t="str">
        <f>"00498794"</f>
        <v>00498794</v>
      </c>
      <c r="H851">
        <v>20.72</v>
      </c>
      <c r="I851">
        <v>0</v>
      </c>
      <c r="M851">
        <v>0</v>
      </c>
      <c r="N851">
        <v>0</v>
      </c>
      <c r="O851">
        <v>0</v>
      </c>
      <c r="P851">
        <v>20.72</v>
      </c>
      <c r="Q851">
        <v>62</v>
      </c>
      <c r="R851">
        <v>62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62</v>
      </c>
      <c r="Z851">
        <v>6</v>
      </c>
      <c r="AA851">
        <v>0</v>
      </c>
      <c r="AC851">
        <v>88.72</v>
      </c>
    </row>
    <row r="852" spans="1:29">
      <c r="A852">
        <v>845</v>
      </c>
      <c r="B852">
        <v>2375</v>
      </c>
      <c r="C852" t="s">
        <v>2007</v>
      </c>
      <c r="D852" t="s">
        <v>2008</v>
      </c>
      <c r="E852" t="s">
        <v>2009</v>
      </c>
      <c r="F852" t="s">
        <v>2010</v>
      </c>
      <c r="G852" t="str">
        <f>"00506467"</f>
        <v>00506467</v>
      </c>
      <c r="H852">
        <v>57.6</v>
      </c>
      <c r="I852">
        <v>0</v>
      </c>
      <c r="M852">
        <v>0</v>
      </c>
      <c r="N852">
        <v>4</v>
      </c>
      <c r="O852">
        <v>0</v>
      </c>
      <c r="P852">
        <v>61.6</v>
      </c>
      <c r="Q852">
        <v>18</v>
      </c>
      <c r="R852">
        <v>18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18</v>
      </c>
      <c r="Z852">
        <v>9</v>
      </c>
      <c r="AA852">
        <v>0</v>
      </c>
      <c r="AC852">
        <v>88.6</v>
      </c>
    </row>
    <row r="853" spans="1:29">
      <c r="A853">
        <v>846</v>
      </c>
      <c r="B853">
        <v>814</v>
      </c>
      <c r="C853" t="s">
        <v>2011</v>
      </c>
      <c r="D853" t="s">
        <v>130</v>
      </c>
      <c r="E853" t="s">
        <v>1813</v>
      </c>
      <c r="F853" t="s">
        <v>2012</v>
      </c>
      <c r="G853" t="str">
        <f>"00508180"</f>
        <v>00508180</v>
      </c>
      <c r="H853">
        <v>21.6</v>
      </c>
      <c r="I853">
        <v>0</v>
      </c>
      <c r="L853">
        <v>4</v>
      </c>
      <c r="M853">
        <v>4</v>
      </c>
      <c r="N853">
        <v>4</v>
      </c>
      <c r="O853">
        <v>0</v>
      </c>
      <c r="P853">
        <v>29.6</v>
      </c>
      <c r="Q853">
        <v>53</v>
      </c>
      <c r="R853">
        <v>53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53</v>
      </c>
      <c r="Z853">
        <v>6</v>
      </c>
      <c r="AA853">
        <v>0</v>
      </c>
      <c r="AC853">
        <v>88.6</v>
      </c>
    </row>
    <row r="854" spans="1:29">
      <c r="A854">
        <v>847</v>
      </c>
      <c r="B854">
        <v>3819</v>
      </c>
      <c r="C854" t="s">
        <v>2013</v>
      </c>
      <c r="D854" t="s">
        <v>2014</v>
      </c>
      <c r="E854" t="s">
        <v>134</v>
      </c>
      <c r="F854" t="s">
        <v>2015</v>
      </c>
      <c r="G854" t="str">
        <f>"00533468"</f>
        <v>00533468</v>
      </c>
      <c r="H854">
        <v>21.6</v>
      </c>
      <c r="I854">
        <v>0</v>
      </c>
      <c r="M854">
        <v>0</v>
      </c>
      <c r="N854">
        <v>0</v>
      </c>
      <c r="O854">
        <v>2</v>
      </c>
      <c r="P854">
        <v>23.6</v>
      </c>
      <c r="Q854">
        <v>62</v>
      </c>
      <c r="R854">
        <v>62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62</v>
      </c>
      <c r="Z854">
        <v>3</v>
      </c>
      <c r="AA854">
        <v>0</v>
      </c>
      <c r="AC854">
        <v>88.6</v>
      </c>
    </row>
    <row r="855" spans="1:29">
      <c r="A855">
        <v>848</v>
      </c>
      <c r="B855">
        <v>1576</v>
      </c>
      <c r="C855" t="s">
        <v>2016</v>
      </c>
      <c r="D855" t="s">
        <v>2017</v>
      </c>
      <c r="E855" t="s">
        <v>89</v>
      </c>
      <c r="F855" t="s">
        <v>2018</v>
      </c>
      <c r="G855" t="str">
        <f>"00158129"</f>
        <v>00158129</v>
      </c>
      <c r="H855">
        <v>21.6</v>
      </c>
      <c r="I855">
        <v>0</v>
      </c>
      <c r="J855">
        <v>8</v>
      </c>
      <c r="M855">
        <v>8</v>
      </c>
      <c r="N855">
        <v>4</v>
      </c>
      <c r="O855">
        <v>2</v>
      </c>
      <c r="P855">
        <v>35.6</v>
      </c>
      <c r="Q855">
        <v>53</v>
      </c>
      <c r="R855">
        <v>53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53</v>
      </c>
      <c r="Z855">
        <v>0</v>
      </c>
      <c r="AA855">
        <v>0</v>
      </c>
      <c r="AC855">
        <v>88.6</v>
      </c>
    </row>
    <row r="856" spans="1:29">
      <c r="A856">
        <v>849</v>
      </c>
      <c r="B856">
        <v>449</v>
      </c>
      <c r="C856" t="s">
        <v>2019</v>
      </c>
      <c r="D856" t="s">
        <v>276</v>
      </c>
      <c r="E856" t="s">
        <v>2020</v>
      </c>
      <c r="F856" t="s">
        <v>2021</v>
      </c>
      <c r="G856" t="str">
        <f>"00517889"</f>
        <v>00517889</v>
      </c>
      <c r="H856">
        <v>21.6</v>
      </c>
      <c r="I856">
        <v>0</v>
      </c>
      <c r="M856">
        <v>0</v>
      </c>
      <c r="N856">
        <v>4</v>
      </c>
      <c r="O856">
        <v>2</v>
      </c>
      <c r="P856">
        <v>27.6</v>
      </c>
      <c r="Q856">
        <v>61</v>
      </c>
      <c r="R856">
        <v>61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61</v>
      </c>
      <c r="Z856">
        <v>0</v>
      </c>
      <c r="AA856">
        <v>0</v>
      </c>
      <c r="AB856" t="s">
        <v>128</v>
      </c>
      <c r="AC856">
        <v>88.6</v>
      </c>
    </row>
    <row r="857" spans="1:29">
      <c r="A857">
        <v>850</v>
      </c>
      <c r="B857">
        <v>4038</v>
      </c>
      <c r="C857" t="s">
        <v>417</v>
      </c>
      <c r="D857" t="s">
        <v>98</v>
      </c>
      <c r="E857" t="s">
        <v>66</v>
      </c>
      <c r="F857" t="s">
        <v>2022</v>
      </c>
      <c r="G857" t="str">
        <f>"00442530"</f>
        <v>00442530</v>
      </c>
      <c r="H857">
        <v>29.44</v>
      </c>
      <c r="I857">
        <v>0</v>
      </c>
      <c r="J857">
        <v>8</v>
      </c>
      <c r="M857">
        <v>8</v>
      </c>
      <c r="N857">
        <v>4</v>
      </c>
      <c r="O857">
        <v>2</v>
      </c>
      <c r="P857">
        <v>43.44</v>
      </c>
      <c r="Q857">
        <v>45</v>
      </c>
      <c r="R857">
        <v>45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45</v>
      </c>
      <c r="Z857">
        <v>0</v>
      </c>
      <c r="AA857">
        <v>0</v>
      </c>
      <c r="AC857">
        <v>88.44</v>
      </c>
    </row>
    <row r="858" spans="1:29">
      <c r="A858">
        <v>851</v>
      </c>
      <c r="B858">
        <v>4796</v>
      </c>
      <c r="C858" t="s">
        <v>2023</v>
      </c>
      <c r="D858" t="s">
        <v>1223</v>
      </c>
      <c r="E858" t="s">
        <v>436</v>
      </c>
      <c r="F858" t="s">
        <v>2024</v>
      </c>
      <c r="G858" t="str">
        <f>"00865917"</f>
        <v>00865917</v>
      </c>
      <c r="H858">
        <v>57.6</v>
      </c>
      <c r="I858">
        <v>0</v>
      </c>
      <c r="L858">
        <v>4</v>
      </c>
      <c r="M858">
        <v>4</v>
      </c>
      <c r="N858">
        <v>0</v>
      </c>
      <c r="O858">
        <v>0</v>
      </c>
      <c r="P858">
        <v>61.6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26.8</v>
      </c>
      <c r="AC858">
        <v>88.4</v>
      </c>
    </row>
    <row r="859" spans="1:29">
      <c r="A859">
        <v>852</v>
      </c>
      <c r="B859">
        <v>941</v>
      </c>
      <c r="C859" t="s">
        <v>2025</v>
      </c>
      <c r="D859" t="s">
        <v>95</v>
      </c>
      <c r="E859" t="s">
        <v>322</v>
      </c>
      <c r="F859" t="s">
        <v>2026</v>
      </c>
      <c r="G859" t="str">
        <f>"201402007661"</f>
        <v>201402007661</v>
      </c>
      <c r="H859">
        <v>24.4</v>
      </c>
      <c r="I859">
        <v>0</v>
      </c>
      <c r="M859">
        <v>0</v>
      </c>
      <c r="N859">
        <v>4</v>
      </c>
      <c r="O859">
        <v>2</v>
      </c>
      <c r="P859">
        <v>30.4</v>
      </c>
      <c r="Q859">
        <v>32</v>
      </c>
      <c r="R859">
        <v>32</v>
      </c>
      <c r="S859">
        <v>10</v>
      </c>
      <c r="T859">
        <v>20</v>
      </c>
      <c r="U859">
        <v>0</v>
      </c>
      <c r="V859">
        <v>0</v>
      </c>
      <c r="W859">
        <v>0</v>
      </c>
      <c r="X859">
        <v>0</v>
      </c>
      <c r="Y859">
        <v>52</v>
      </c>
      <c r="Z859">
        <v>6</v>
      </c>
      <c r="AA859">
        <v>0</v>
      </c>
      <c r="AC859">
        <v>88.4</v>
      </c>
    </row>
    <row r="860" spans="1:29">
      <c r="A860">
        <v>853</v>
      </c>
      <c r="B860">
        <v>121</v>
      </c>
      <c r="C860" t="s">
        <v>2027</v>
      </c>
      <c r="D860" t="s">
        <v>185</v>
      </c>
      <c r="E860" t="s">
        <v>18</v>
      </c>
      <c r="F860" t="s">
        <v>2028</v>
      </c>
      <c r="G860" t="str">
        <f>"00529785"</f>
        <v>00529785</v>
      </c>
      <c r="H860">
        <v>14.4</v>
      </c>
      <c r="I860">
        <v>0</v>
      </c>
      <c r="L860">
        <v>4</v>
      </c>
      <c r="M860">
        <v>4</v>
      </c>
      <c r="N860">
        <v>4</v>
      </c>
      <c r="O860">
        <v>0</v>
      </c>
      <c r="P860">
        <v>22.4</v>
      </c>
      <c r="Q860">
        <v>43</v>
      </c>
      <c r="R860">
        <v>43</v>
      </c>
      <c r="S860">
        <v>10</v>
      </c>
      <c r="T860">
        <v>20</v>
      </c>
      <c r="U860">
        <v>0</v>
      </c>
      <c r="V860">
        <v>0</v>
      </c>
      <c r="W860">
        <v>0</v>
      </c>
      <c r="X860">
        <v>0</v>
      </c>
      <c r="Y860">
        <v>63</v>
      </c>
      <c r="Z860">
        <v>3</v>
      </c>
      <c r="AA860">
        <v>0</v>
      </c>
      <c r="AC860">
        <v>88.4</v>
      </c>
    </row>
    <row r="861" spans="1:29">
      <c r="A861">
        <v>854</v>
      </c>
      <c r="B861">
        <v>4052</v>
      </c>
      <c r="C861" t="s">
        <v>2029</v>
      </c>
      <c r="D861" t="s">
        <v>98</v>
      </c>
      <c r="E861" t="s">
        <v>564</v>
      </c>
      <c r="F861" t="s">
        <v>2030</v>
      </c>
      <c r="G861" t="str">
        <f>"00532161"</f>
        <v>00532161</v>
      </c>
      <c r="H861">
        <v>50.4</v>
      </c>
      <c r="I861">
        <v>10</v>
      </c>
      <c r="M861">
        <v>0</v>
      </c>
      <c r="N861">
        <v>4</v>
      </c>
      <c r="O861">
        <v>0</v>
      </c>
      <c r="P861">
        <v>64.400000000000006</v>
      </c>
      <c r="Q861">
        <v>24</v>
      </c>
      <c r="R861">
        <v>24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24</v>
      </c>
      <c r="Z861">
        <v>0</v>
      </c>
      <c r="AA861">
        <v>0</v>
      </c>
      <c r="AC861">
        <v>88.4</v>
      </c>
    </row>
    <row r="862" spans="1:29">
      <c r="A862">
        <v>855</v>
      </c>
      <c r="B862">
        <v>4474</v>
      </c>
      <c r="C862" t="s">
        <v>2031</v>
      </c>
      <c r="D862" t="s">
        <v>130</v>
      </c>
      <c r="E862" t="s">
        <v>375</v>
      </c>
      <c r="F862" t="s">
        <v>2032</v>
      </c>
      <c r="G862" t="str">
        <f>"00519322"</f>
        <v>00519322</v>
      </c>
      <c r="H862">
        <v>33.32</v>
      </c>
      <c r="I862">
        <v>0</v>
      </c>
      <c r="M862">
        <v>0</v>
      </c>
      <c r="N862">
        <v>4</v>
      </c>
      <c r="O862">
        <v>0</v>
      </c>
      <c r="P862">
        <v>37.32</v>
      </c>
      <c r="Q862">
        <v>45</v>
      </c>
      <c r="R862">
        <v>45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45</v>
      </c>
      <c r="Z862">
        <v>6</v>
      </c>
      <c r="AA862">
        <v>0</v>
      </c>
      <c r="AC862">
        <v>88.32</v>
      </c>
    </row>
    <row r="863" spans="1:29">
      <c r="A863">
        <v>856</v>
      </c>
      <c r="B863">
        <v>1430</v>
      </c>
      <c r="C863" t="s">
        <v>2033</v>
      </c>
      <c r="D863" t="s">
        <v>52</v>
      </c>
      <c r="E863" t="s">
        <v>60</v>
      </c>
      <c r="F863" t="s">
        <v>2034</v>
      </c>
      <c r="G863" t="str">
        <f>"00441613"</f>
        <v>00441613</v>
      </c>
      <c r="H863">
        <v>27.28</v>
      </c>
      <c r="I863">
        <v>10</v>
      </c>
      <c r="M863">
        <v>0</v>
      </c>
      <c r="N863">
        <v>4</v>
      </c>
      <c r="O863">
        <v>2</v>
      </c>
      <c r="P863">
        <v>43.28</v>
      </c>
      <c r="Q863">
        <v>45</v>
      </c>
      <c r="R863">
        <v>45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45</v>
      </c>
      <c r="Z863">
        <v>0</v>
      </c>
      <c r="AA863">
        <v>0</v>
      </c>
      <c r="AC863">
        <v>88.28</v>
      </c>
    </row>
    <row r="864" spans="1:29">
      <c r="A864">
        <v>857</v>
      </c>
      <c r="B864">
        <v>592</v>
      </c>
      <c r="C864" t="s">
        <v>260</v>
      </c>
      <c r="D864" t="s">
        <v>959</v>
      </c>
      <c r="E864" t="s">
        <v>66</v>
      </c>
      <c r="F864" t="s">
        <v>2035</v>
      </c>
      <c r="G864" t="str">
        <f>"00173594"</f>
        <v>00173594</v>
      </c>
      <c r="H864">
        <v>43.2</v>
      </c>
      <c r="I864">
        <v>0</v>
      </c>
      <c r="M864">
        <v>0</v>
      </c>
      <c r="N864">
        <v>4</v>
      </c>
      <c r="O864">
        <v>0</v>
      </c>
      <c r="P864">
        <v>47.2</v>
      </c>
      <c r="Q864">
        <v>35</v>
      </c>
      <c r="R864">
        <v>35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35</v>
      </c>
      <c r="Z864">
        <v>6</v>
      </c>
      <c r="AA864">
        <v>0</v>
      </c>
      <c r="AC864">
        <v>88.2</v>
      </c>
    </row>
    <row r="865" spans="1:29">
      <c r="A865">
        <v>858</v>
      </c>
      <c r="B865">
        <v>4337</v>
      </c>
      <c r="C865" t="s">
        <v>2036</v>
      </c>
      <c r="D865" t="s">
        <v>2037</v>
      </c>
      <c r="E865" t="s">
        <v>379</v>
      </c>
      <c r="F865" t="s">
        <v>2038</v>
      </c>
      <c r="G865" t="str">
        <f>"00527220"</f>
        <v>00527220</v>
      </c>
      <c r="H865">
        <v>43.2</v>
      </c>
      <c r="I865">
        <v>10</v>
      </c>
      <c r="J865">
        <v>8</v>
      </c>
      <c r="M865">
        <v>8</v>
      </c>
      <c r="N865">
        <v>4</v>
      </c>
      <c r="O865">
        <v>2</v>
      </c>
      <c r="P865">
        <v>67.2</v>
      </c>
      <c r="Q865">
        <v>18</v>
      </c>
      <c r="R865">
        <v>18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18</v>
      </c>
      <c r="Z865">
        <v>3</v>
      </c>
      <c r="AA865">
        <v>0</v>
      </c>
      <c r="AC865">
        <v>88.2</v>
      </c>
    </row>
    <row r="866" spans="1:29">
      <c r="A866">
        <v>859</v>
      </c>
      <c r="B866">
        <v>1342</v>
      </c>
      <c r="C866" t="s">
        <v>2039</v>
      </c>
      <c r="D866" t="s">
        <v>210</v>
      </c>
      <c r="E866" t="s">
        <v>79</v>
      </c>
      <c r="F866" t="s">
        <v>2040</v>
      </c>
      <c r="G866" t="str">
        <f>"00441577"</f>
        <v>00441577</v>
      </c>
      <c r="H866">
        <v>43.2</v>
      </c>
      <c r="I866">
        <v>0</v>
      </c>
      <c r="M866">
        <v>0</v>
      </c>
      <c r="N866">
        <v>4</v>
      </c>
      <c r="O866">
        <v>2</v>
      </c>
      <c r="P866">
        <v>49.2</v>
      </c>
      <c r="Q866">
        <v>36</v>
      </c>
      <c r="R866">
        <v>36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36</v>
      </c>
      <c r="Z866">
        <v>3</v>
      </c>
      <c r="AA866">
        <v>0</v>
      </c>
      <c r="AC866">
        <v>88.2</v>
      </c>
    </row>
    <row r="867" spans="1:29">
      <c r="A867">
        <v>860</v>
      </c>
      <c r="B867">
        <v>804</v>
      </c>
      <c r="C867" t="s">
        <v>2041</v>
      </c>
      <c r="D867" t="s">
        <v>31</v>
      </c>
      <c r="E867" t="s">
        <v>89</v>
      </c>
      <c r="F867" t="s">
        <v>2042</v>
      </c>
      <c r="G867" t="str">
        <f>"00480650"</f>
        <v>00480650</v>
      </c>
      <c r="H867">
        <v>19.2</v>
      </c>
      <c r="I867">
        <v>0</v>
      </c>
      <c r="M867">
        <v>0</v>
      </c>
      <c r="N867">
        <v>0</v>
      </c>
      <c r="O867">
        <v>0</v>
      </c>
      <c r="P867">
        <v>19.2</v>
      </c>
      <c r="Q867">
        <v>66</v>
      </c>
      <c r="R867">
        <v>66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66</v>
      </c>
      <c r="Z867">
        <v>3</v>
      </c>
      <c r="AA867">
        <v>0</v>
      </c>
      <c r="AC867">
        <v>88.2</v>
      </c>
    </row>
    <row r="868" spans="1:29">
      <c r="A868">
        <v>861</v>
      </c>
      <c r="B868">
        <v>544</v>
      </c>
      <c r="C868" t="s">
        <v>2046</v>
      </c>
      <c r="D868" t="s">
        <v>2047</v>
      </c>
      <c r="E868" t="s">
        <v>66</v>
      </c>
      <c r="F868" t="s">
        <v>2048</v>
      </c>
      <c r="G868" t="str">
        <f>"00479902"</f>
        <v>00479902</v>
      </c>
      <c r="H868">
        <v>43.2</v>
      </c>
      <c r="I868">
        <v>0</v>
      </c>
      <c r="L868">
        <v>4</v>
      </c>
      <c r="M868">
        <v>4</v>
      </c>
      <c r="N868">
        <v>4</v>
      </c>
      <c r="O868">
        <v>2</v>
      </c>
      <c r="P868">
        <v>53.2</v>
      </c>
      <c r="Q868">
        <v>35</v>
      </c>
      <c r="R868">
        <v>35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35</v>
      </c>
      <c r="Z868">
        <v>0</v>
      </c>
      <c r="AA868">
        <v>0</v>
      </c>
      <c r="AC868">
        <v>88.2</v>
      </c>
    </row>
    <row r="869" spans="1:29">
      <c r="A869">
        <v>862</v>
      </c>
      <c r="B869">
        <v>2446</v>
      </c>
      <c r="C869" t="s">
        <v>2043</v>
      </c>
      <c r="D869" t="s">
        <v>2044</v>
      </c>
      <c r="E869" t="s">
        <v>36</v>
      </c>
      <c r="F869" t="s">
        <v>2045</v>
      </c>
      <c r="G869" t="str">
        <f>"00532667"</f>
        <v>00532667</v>
      </c>
      <c r="H869">
        <v>43.2</v>
      </c>
      <c r="I869">
        <v>0</v>
      </c>
      <c r="L869">
        <v>4</v>
      </c>
      <c r="M869">
        <v>4</v>
      </c>
      <c r="N869">
        <v>4</v>
      </c>
      <c r="O869">
        <v>2</v>
      </c>
      <c r="P869">
        <v>53.2</v>
      </c>
      <c r="Q869">
        <v>35</v>
      </c>
      <c r="R869">
        <v>35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35</v>
      </c>
      <c r="Z869">
        <v>0</v>
      </c>
      <c r="AA869">
        <v>0</v>
      </c>
      <c r="AC869">
        <v>88.2</v>
      </c>
    </row>
    <row r="870" spans="1:29">
      <c r="A870">
        <v>863</v>
      </c>
      <c r="B870">
        <v>3447</v>
      </c>
      <c r="C870" t="s">
        <v>2049</v>
      </c>
      <c r="D870" t="s">
        <v>145</v>
      </c>
      <c r="E870" t="s">
        <v>18</v>
      </c>
      <c r="F870" t="s">
        <v>2050</v>
      </c>
      <c r="G870" t="str">
        <f>"00854442"</f>
        <v>00854442</v>
      </c>
      <c r="H870">
        <v>72</v>
      </c>
      <c r="I870">
        <v>0</v>
      </c>
      <c r="L870">
        <v>4</v>
      </c>
      <c r="M870">
        <v>4</v>
      </c>
      <c r="N870">
        <v>4</v>
      </c>
      <c r="O870">
        <v>2</v>
      </c>
      <c r="P870">
        <v>82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6</v>
      </c>
      <c r="AA870">
        <v>0</v>
      </c>
      <c r="AC870">
        <v>88</v>
      </c>
    </row>
    <row r="871" spans="1:29">
      <c r="A871">
        <v>864</v>
      </c>
      <c r="B871">
        <v>3604</v>
      </c>
      <c r="C871" t="s">
        <v>2051</v>
      </c>
      <c r="D871" t="s">
        <v>827</v>
      </c>
      <c r="E871" t="s">
        <v>1020</v>
      </c>
      <c r="F871" t="s">
        <v>2052</v>
      </c>
      <c r="G871" t="str">
        <f>"00150177"</f>
        <v>00150177</v>
      </c>
      <c r="H871">
        <v>72</v>
      </c>
      <c r="I871">
        <v>0</v>
      </c>
      <c r="L871">
        <v>4</v>
      </c>
      <c r="M871">
        <v>4</v>
      </c>
      <c r="N871">
        <v>4</v>
      </c>
      <c r="O871">
        <v>2</v>
      </c>
      <c r="P871">
        <v>82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6</v>
      </c>
      <c r="AA871">
        <v>0</v>
      </c>
      <c r="AC871">
        <v>88</v>
      </c>
    </row>
    <row r="872" spans="1:29">
      <c r="A872">
        <v>865</v>
      </c>
      <c r="B872">
        <v>1829</v>
      </c>
      <c r="C872" t="s">
        <v>2053</v>
      </c>
      <c r="D872" t="s">
        <v>2054</v>
      </c>
      <c r="E872" t="s">
        <v>970</v>
      </c>
      <c r="F872" t="s">
        <v>2055</v>
      </c>
      <c r="G872" t="str">
        <f>"00095948"</f>
        <v>00095948</v>
      </c>
      <c r="H872">
        <v>28</v>
      </c>
      <c r="I872">
        <v>0</v>
      </c>
      <c r="L872">
        <v>4</v>
      </c>
      <c r="M872">
        <v>4</v>
      </c>
      <c r="N872">
        <v>4</v>
      </c>
      <c r="O872">
        <v>2</v>
      </c>
      <c r="P872">
        <v>38</v>
      </c>
      <c r="Q872">
        <v>44</v>
      </c>
      <c r="R872">
        <v>44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44</v>
      </c>
      <c r="Z872">
        <v>6</v>
      </c>
      <c r="AA872">
        <v>0</v>
      </c>
      <c r="AC872">
        <v>88</v>
      </c>
    </row>
    <row r="873" spans="1:29">
      <c r="A873">
        <v>866</v>
      </c>
      <c r="B873">
        <v>2444</v>
      </c>
      <c r="C873" t="s">
        <v>2056</v>
      </c>
      <c r="D873" t="s">
        <v>216</v>
      </c>
      <c r="E873" t="s">
        <v>60</v>
      </c>
      <c r="F873" t="s">
        <v>2057</v>
      </c>
      <c r="G873" t="str">
        <f>"00529763"</f>
        <v>00529763</v>
      </c>
      <c r="H873">
        <v>0</v>
      </c>
      <c r="I873">
        <v>0</v>
      </c>
      <c r="M873">
        <v>0</v>
      </c>
      <c r="N873">
        <v>4</v>
      </c>
      <c r="O873">
        <v>2</v>
      </c>
      <c r="P873">
        <v>6</v>
      </c>
      <c r="Q873">
        <v>76</v>
      </c>
      <c r="R873">
        <v>76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76</v>
      </c>
      <c r="Z873">
        <v>6</v>
      </c>
      <c r="AA873">
        <v>0</v>
      </c>
      <c r="AC873">
        <v>88</v>
      </c>
    </row>
    <row r="874" spans="1:29">
      <c r="A874">
        <v>867</v>
      </c>
      <c r="B874">
        <v>2968</v>
      </c>
      <c r="C874" t="s">
        <v>2058</v>
      </c>
      <c r="D874" t="s">
        <v>98</v>
      </c>
      <c r="E874" t="s">
        <v>53</v>
      </c>
      <c r="F874" t="s">
        <v>2059</v>
      </c>
      <c r="G874" t="str">
        <f>"00863840"</f>
        <v>00863840</v>
      </c>
      <c r="H874">
        <v>72</v>
      </c>
      <c r="I874">
        <v>10</v>
      </c>
      <c r="M874">
        <v>0</v>
      </c>
      <c r="N874">
        <v>4</v>
      </c>
      <c r="O874">
        <v>2</v>
      </c>
      <c r="P874">
        <v>88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C874">
        <v>88</v>
      </c>
    </row>
    <row r="875" spans="1:29">
      <c r="A875">
        <v>868</v>
      </c>
      <c r="B875">
        <v>871</v>
      </c>
      <c r="C875" t="s">
        <v>2060</v>
      </c>
      <c r="D875" t="s">
        <v>216</v>
      </c>
      <c r="E875" t="s">
        <v>32</v>
      </c>
      <c r="F875" t="s">
        <v>2061</v>
      </c>
      <c r="G875" t="str">
        <f>"00049455"</f>
        <v>00049455</v>
      </c>
      <c r="H875">
        <v>40</v>
      </c>
      <c r="I875">
        <v>0</v>
      </c>
      <c r="J875">
        <v>8</v>
      </c>
      <c r="M875">
        <v>8</v>
      </c>
      <c r="N875">
        <v>4</v>
      </c>
      <c r="O875">
        <v>2</v>
      </c>
      <c r="P875">
        <v>54</v>
      </c>
      <c r="Q875">
        <v>34</v>
      </c>
      <c r="R875">
        <v>34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34</v>
      </c>
      <c r="Z875">
        <v>0</v>
      </c>
      <c r="AA875">
        <v>0</v>
      </c>
      <c r="AC875">
        <v>88</v>
      </c>
    </row>
    <row r="876" spans="1:29">
      <c r="A876">
        <v>869</v>
      </c>
      <c r="B876">
        <v>1849</v>
      </c>
      <c r="C876" t="s">
        <v>2062</v>
      </c>
      <c r="D876" t="s">
        <v>52</v>
      </c>
      <c r="E876" t="s">
        <v>36</v>
      </c>
      <c r="F876" t="s">
        <v>2063</v>
      </c>
      <c r="G876" t="str">
        <f>"00508512"</f>
        <v>00508512</v>
      </c>
      <c r="H876">
        <v>36</v>
      </c>
      <c r="I876">
        <v>0</v>
      </c>
      <c r="M876">
        <v>0</v>
      </c>
      <c r="N876">
        <v>4</v>
      </c>
      <c r="O876">
        <v>2</v>
      </c>
      <c r="P876">
        <v>42</v>
      </c>
      <c r="Q876">
        <v>46</v>
      </c>
      <c r="R876">
        <v>46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46</v>
      </c>
      <c r="Z876">
        <v>0</v>
      </c>
      <c r="AA876">
        <v>0</v>
      </c>
      <c r="AC876">
        <v>88</v>
      </c>
    </row>
    <row r="877" spans="1:29">
      <c r="A877">
        <v>870</v>
      </c>
      <c r="B877">
        <v>1126</v>
      </c>
      <c r="C877" t="s">
        <v>2064</v>
      </c>
      <c r="D877" t="s">
        <v>130</v>
      </c>
      <c r="E877" t="s">
        <v>156</v>
      </c>
      <c r="F877" t="s">
        <v>2065</v>
      </c>
      <c r="G877" t="str">
        <f>"00515014"</f>
        <v>00515014</v>
      </c>
      <c r="H877">
        <v>12</v>
      </c>
      <c r="I877">
        <v>0</v>
      </c>
      <c r="M877">
        <v>0</v>
      </c>
      <c r="N877">
        <v>0</v>
      </c>
      <c r="O877">
        <v>0</v>
      </c>
      <c r="P877">
        <v>12</v>
      </c>
      <c r="Q877">
        <v>76</v>
      </c>
      <c r="R877">
        <v>76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76</v>
      </c>
      <c r="Z877">
        <v>0</v>
      </c>
      <c r="AA877">
        <v>0</v>
      </c>
      <c r="AC877">
        <v>88</v>
      </c>
    </row>
    <row r="878" spans="1:29">
      <c r="A878">
        <v>871</v>
      </c>
      <c r="B878">
        <v>1992</v>
      </c>
      <c r="C878" t="s">
        <v>2066</v>
      </c>
      <c r="D878" t="s">
        <v>175</v>
      </c>
      <c r="E878" t="s">
        <v>211</v>
      </c>
      <c r="F878" t="s">
        <v>2067</v>
      </c>
      <c r="G878" t="str">
        <f>"00433351"</f>
        <v>00433351</v>
      </c>
      <c r="H878">
        <v>36.880000000000003</v>
      </c>
      <c r="I878">
        <v>10</v>
      </c>
      <c r="M878">
        <v>0</v>
      </c>
      <c r="N878">
        <v>4</v>
      </c>
      <c r="O878">
        <v>2</v>
      </c>
      <c r="P878">
        <v>52.88</v>
      </c>
      <c r="Q878">
        <v>35</v>
      </c>
      <c r="R878">
        <v>35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35</v>
      </c>
      <c r="Z878">
        <v>0</v>
      </c>
      <c r="AA878">
        <v>0</v>
      </c>
      <c r="AC878">
        <v>87.88</v>
      </c>
    </row>
    <row r="879" spans="1:29">
      <c r="A879">
        <v>872</v>
      </c>
      <c r="B879">
        <v>3034</v>
      </c>
      <c r="C879" t="s">
        <v>2068</v>
      </c>
      <c r="D879" t="s">
        <v>159</v>
      </c>
      <c r="E879" t="s">
        <v>410</v>
      </c>
      <c r="F879" t="s">
        <v>2069</v>
      </c>
      <c r="G879" t="str">
        <f>"00192107"</f>
        <v>00192107</v>
      </c>
      <c r="H879">
        <v>24.8</v>
      </c>
      <c r="I879">
        <v>0</v>
      </c>
      <c r="M879">
        <v>0</v>
      </c>
      <c r="N879">
        <v>4</v>
      </c>
      <c r="O879">
        <v>2</v>
      </c>
      <c r="P879">
        <v>30.8</v>
      </c>
      <c r="Q879">
        <v>51</v>
      </c>
      <c r="R879">
        <v>51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51</v>
      </c>
      <c r="Z879">
        <v>6</v>
      </c>
      <c r="AA879">
        <v>0</v>
      </c>
      <c r="AC879">
        <v>87.8</v>
      </c>
    </row>
    <row r="880" spans="1:29">
      <c r="A880">
        <v>873</v>
      </c>
      <c r="B880">
        <v>321</v>
      </c>
      <c r="C880" t="s">
        <v>2070</v>
      </c>
      <c r="D880" t="s">
        <v>2071</v>
      </c>
      <c r="E880" t="s">
        <v>18</v>
      </c>
      <c r="F880" t="s">
        <v>2072</v>
      </c>
      <c r="G880" t="str">
        <f>"00504497"</f>
        <v>00504497</v>
      </c>
      <c r="H880">
        <v>28.8</v>
      </c>
      <c r="I880">
        <v>0</v>
      </c>
      <c r="M880">
        <v>0</v>
      </c>
      <c r="N880">
        <v>4</v>
      </c>
      <c r="O880">
        <v>2</v>
      </c>
      <c r="P880">
        <v>34.799999999999997</v>
      </c>
      <c r="Q880">
        <v>50</v>
      </c>
      <c r="R880">
        <v>50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50</v>
      </c>
      <c r="Z880">
        <v>3</v>
      </c>
      <c r="AA880">
        <v>0</v>
      </c>
      <c r="AC880">
        <v>87.8</v>
      </c>
    </row>
    <row r="881" spans="1:29">
      <c r="A881">
        <v>874</v>
      </c>
      <c r="B881">
        <v>697</v>
      </c>
      <c r="C881" t="s">
        <v>2073</v>
      </c>
      <c r="D881" t="s">
        <v>261</v>
      </c>
      <c r="E881" t="s">
        <v>375</v>
      </c>
      <c r="F881" t="s">
        <v>2074</v>
      </c>
      <c r="G881" t="str">
        <f>"00191265"</f>
        <v>00191265</v>
      </c>
      <c r="H881">
        <v>31.72</v>
      </c>
      <c r="I881">
        <v>0</v>
      </c>
      <c r="M881">
        <v>0</v>
      </c>
      <c r="N881">
        <v>4</v>
      </c>
      <c r="O881">
        <v>0</v>
      </c>
      <c r="P881">
        <v>35.72</v>
      </c>
      <c r="Q881">
        <v>40</v>
      </c>
      <c r="R881">
        <v>40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40</v>
      </c>
      <c r="Z881">
        <v>12</v>
      </c>
      <c r="AA881">
        <v>0</v>
      </c>
      <c r="AC881">
        <v>87.72</v>
      </c>
    </row>
    <row r="882" spans="1:29">
      <c r="A882">
        <v>875</v>
      </c>
      <c r="B882">
        <v>2863</v>
      </c>
      <c r="C882" t="s">
        <v>2075</v>
      </c>
      <c r="D882" t="s">
        <v>164</v>
      </c>
      <c r="E882" t="s">
        <v>36</v>
      </c>
      <c r="F882" t="s">
        <v>2076</v>
      </c>
      <c r="G882" t="str">
        <f>"00520844"</f>
        <v>00520844</v>
      </c>
      <c r="H882">
        <v>28.72</v>
      </c>
      <c r="I882">
        <v>10</v>
      </c>
      <c r="M882">
        <v>0</v>
      </c>
      <c r="N882">
        <v>4</v>
      </c>
      <c r="O882">
        <v>2</v>
      </c>
      <c r="P882">
        <v>44.72</v>
      </c>
      <c r="Q882">
        <v>37</v>
      </c>
      <c r="R882">
        <v>37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37</v>
      </c>
      <c r="Z882">
        <v>6</v>
      </c>
      <c r="AA882">
        <v>0</v>
      </c>
      <c r="AC882">
        <v>87.72</v>
      </c>
    </row>
    <row r="883" spans="1:29">
      <c r="A883">
        <v>876</v>
      </c>
      <c r="B883">
        <v>4346</v>
      </c>
      <c r="C883" t="s">
        <v>2077</v>
      </c>
      <c r="D883" t="s">
        <v>775</v>
      </c>
      <c r="E883" t="s">
        <v>18</v>
      </c>
      <c r="F883" t="s">
        <v>2078</v>
      </c>
      <c r="G883" t="str">
        <f>"00651343"</f>
        <v>00651343</v>
      </c>
      <c r="H883">
        <v>35.64</v>
      </c>
      <c r="I883">
        <v>10</v>
      </c>
      <c r="M883">
        <v>0</v>
      </c>
      <c r="N883">
        <v>4</v>
      </c>
      <c r="O883">
        <v>0</v>
      </c>
      <c r="P883">
        <v>49.64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6</v>
      </c>
      <c r="AA883">
        <v>32</v>
      </c>
      <c r="AC883">
        <v>87.64</v>
      </c>
    </row>
    <row r="884" spans="1:29">
      <c r="A884">
        <v>877</v>
      </c>
      <c r="B884">
        <v>2739</v>
      </c>
      <c r="C884" t="s">
        <v>2079</v>
      </c>
      <c r="D884" t="s">
        <v>336</v>
      </c>
      <c r="E884" t="s">
        <v>237</v>
      </c>
      <c r="F884" t="s">
        <v>2080</v>
      </c>
      <c r="G884" t="str">
        <f>"201507003672"</f>
        <v>201507003672</v>
      </c>
      <c r="H884">
        <v>57.6</v>
      </c>
      <c r="I884">
        <v>0</v>
      </c>
      <c r="J884">
        <v>8</v>
      </c>
      <c r="K884">
        <v>6</v>
      </c>
      <c r="M884">
        <v>14</v>
      </c>
      <c r="N884">
        <v>4</v>
      </c>
      <c r="O884">
        <v>0</v>
      </c>
      <c r="P884">
        <v>75.599999999999994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12</v>
      </c>
      <c r="AA884">
        <v>0</v>
      </c>
      <c r="AC884">
        <v>87.6</v>
      </c>
    </row>
    <row r="885" spans="1:29">
      <c r="A885">
        <v>878</v>
      </c>
      <c r="B885">
        <v>1313</v>
      </c>
      <c r="C885" t="s">
        <v>2081</v>
      </c>
      <c r="D885" t="s">
        <v>569</v>
      </c>
      <c r="E885" t="s">
        <v>115</v>
      </c>
      <c r="F885" t="s">
        <v>2082</v>
      </c>
      <c r="G885" t="str">
        <f>"00534142"</f>
        <v>00534142</v>
      </c>
      <c r="H885">
        <v>57.6</v>
      </c>
      <c r="I885">
        <v>10</v>
      </c>
      <c r="M885">
        <v>0</v>
      </c>
      <c r="N885">
        <v>4</v>
      </c>
      <c r="O885">
        <v>2</v>
      </c>
      <c r="P885">
        <v>73.599999999999994</v>
      </c>
      <c r="Q885">
        <v>8</v>
      </c>
      <c r="R885">
        <v>8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8</v>
      </c>
      <c r="Z885">
        <v>6</v>
      </c>
      <c r="AA885">
        <v>0</v>
      </c>
      <c r="AC885">
        <v>87.6</v>
      </c>
    </row>
    <row r="886" spans="1:29">
      <c r="A886">
        <v>879</v>
      </c>
      <c r="B886">
        <v>2817</v>
      </c>
      <c r="C886" t="s">
        <v>2083</v>
      </c>
      <c r="D886" t="s">
        <v>27</v>
      </c>
      <c r="E886" t="s">
        <v>777</v>
      </c>
      <c r="F886" t="s">
        <v>2084</v>
      </c>
      <c r="G886" t="str">
        <f>"00505094"</f>
        <v>00505094</v>
      </c>
      <c r="H886">
        <v>21.6</v>
      </c>
      <c r="I886">
        <v>0</v>
      </c>
      <c r="M886">
        <v>0</v>
      </c>
      <c r="N886">
        <v>4</v>
      </c>
      <c r="O886">
        <v>2</v>
      </c>
      <c r="P886">
        <v>27.6</v>
      </c>
      <c r="Q886">
        <v>54</v>
      </c>
      <c r="R886">
        <v>54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54</v>
      </c>
      <c r="Z886">
        <v>6</v>
      </c>
      <c r="AA886">
        <v>0</v>
      </c>
      <c r="AC886">
        <v>87.6</v>
      </c>
    </row>
    <row r="887" spans="1:29">
      <c r="A887">
        <v>880</v>
      </c>
      <c r="B887">
        <v>1636</v>
      </c>
      <c r="C887" t="s">
        <v>2085</v>
      </c>
      <c r="D887" t="s">
        <v>179</v>
      </c>
      <c r="E887" t="s">
        <v>15</v>
      </c>
      <c r="F887" t="s">
        <v>2086</v>
      </c>
      <c r="G887" t="str">
        <f>"00484491"</f>
        <v>00484491</v>
      </c>
      <c r="H887">
        <v>21.6</v>
      </c>
      <c r="I887">
        <v>0</v>
      </c>
      <c r="M887">
        <v>0</v>
      </c>
      <c r="N887">
        <v>4</v>
      </c>
      <c r="O887">
        <v>0</v>
      </c>
      <c r="P887">
        <v>25.6</v>
      </c>
      <c r="Q887">
        <v>56</v>
      </c>
      <c r="R887">
        <v>56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56</v>
      </c>
      <c r="Z887">
        <v>6</v>
      </c>
      <c r="AA887">
        <v>0</v>
      </c>
      <c r="AC887">
        <v>87.6</v>
      </c>
    </row>
    <row r="888" spans="1:29">
      <c r="A888">
        <v>881</v>
      </c>
      <c r="B888">
        <v>3442</v>
      </c>
      <c r="C888" t="s">
        <v>492</v>
      </c>
      <c r="D888" t="s">
        <v>2087</v>
      </c>
      <c r="E888" t="s">
        <v>15</v>
      </c>
      <c r="F888" t="s">
        <v>2088</v>
      </c>
      <c r="G888" t="str">
        <f>"00805786"</f>
        <v>00805786</v>
      </c>
      <c r="H888">
        <v>57.6</v>
      </c>
      <c r="I888">
        <v>10</v>
      </c>
      <c r="J888">
        <v>16</v>
      </c>
      <c r="M888">
        <v>16</v>
      </c>
      <c r="N888">
        <v>4</v>
      </c>
      <c r="O888">
        <v>0</v>
      </c>
      <c r="P888">
        <v>87.6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C888">
        <v>87.6</v>
      </c>
    </row>
    <row r="889" spans="1:29">
      <c r="A889">
        <v>882</v>
      </c>
      <c r="B889">
        <v>3098</v>
      </c>
      <c r="C889" t="s">
        <v>2089</v>
      </c>
      <c r="D889" t="s">
        <v>930</v>
      </c>
      <c r="E889" t="s">
        <v>18</v>
      </c>
      <c r="F889" t="s">
        <v>2090</v>
      </c>
      <c r="G889" t="str">
        <f>"201511030758"</f>
        <v>201511030758</v>
      </c>
      <c r="H889">
        <v>57.6</v>
      </c>
      <c r="I889">
        <v>0</v>
      </c>
      <c r="J889">
        <v>8</v>
      </c>
      <c r="M889">
        <v>8</v>
      </c>
      <c r="N889">
        <v>4</v>
      </c>
      <c r="O889">
        <v>0</v>
      </c>
      <c r="P889">
        <v>69.599999999999994</v>
      </c>
      <c r="Q889">
        <v>18</v>
      </c>
      <c r="R889">
        <v>18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18</v>
      </c>
      <c r="Z889">
        <v>0</v>
      </c>
      <c r="AA889">
        <v>0</v>
      </c>
      <c r="AC889">
        <v>87.6</v>
      </c>
    </row>
    <row r="890" spans="1:29">
      <c r="A890">
        <v>883</v>
      </c>
      <c r="B890">
        <v>728</v>
      </c>
      <c r="C890" t="s">
        <v>2091</v>
      </c>
      <c r="D890" t="s">
        <v>2092</v>
      </c>
      <c r="E890" t="s">
        <v>115</v>
      </c>
      <c r="F890" t="s">
        <v>2093</v>
      </c>
      <c r="G890" t="str">
        <f>"00457041"</f>
        <v>00457041</v>
      </c>
      <c r="H890">
        <v>57.6</v>
      </c>
      <c r="I890">
        <v>0</v>
      </c>
      <c r="K890">
        <v>6</v>
      </c>
      <c r="M890">
        <v>6</v>
      </c>
      <c r="N890">
        <v>4</v>
      </c>
      <c r="O890">
        <v>2</v>
      </c>
      <c r="P890">
        <v>69.599999999999994</v>
      </c>
      <c r="Q890">
        <v>18</v>
      </c>
      <c r="R890">
        <v>18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18</v>
      </c>
      <c r="Z890">
        <v>0</v>
      </c>
      <c r="AA890">
        <v>0</v>
      </c>
      <c r="AC890">
        <v>87.6</v>
      </c>
    </row>
    <row r="891" spans="1:29">
      <c r="A891">
        <v>884</v>
      </c>
      <c r="B891">
        <v>951</v>
      </c>
      <c r="C891" t="s">
        <v>2094</v>
      </c>
      <c r="D891" t="s">
        <v>175</v>
      </c>
      <c r="E891" t="s">
        <v>18</v>
      </c>
      <c r="F891" t="s">
        <v>2095</v>
      </c>
      <c r="G891" t="str">
        <f>"00151713"</f>
        <v>00151713</v>
      </c>
      <c r="H891">
        <v>21.6</v>
      </c>
      <c r="I891">
        <v>0</v>
      </c>
      <c r="J891">
        <v>8</v>
      </c>
      <c r="M891">
        <v>8</v>
      </c>
      <c r="N891">
        <v>4</v>
      </c>
      <c r="O891">
        <v>2</v>
      </c>
      <c r="P891">
        <v>35.6</v>
      </c>
      <c r="Q891">
        <v>52</v>
      </c>
      <c r="R891">
        <v>52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52</v>
      </c>
      <c r="Z891">
        <v>0</v>
      </c>
      <c r="AA891">
        <v>0</v>
      </c>
      <c r="AC891">
        <v>87.6</v>
      </c>
    </row>
    <row r="892" spans="1:29">
      <c r="A892">
        <v>885</v>
      </c>
      <c r="B892">
        <v>2079</v>
      </c>
      <c r="C892" t="s">
        <v>2096</v>
      </c>
      <c r="D892" t="s">
        <v>400</v>
      </c>
      <c r="E892" t="s">
        <v>436</v>
      </c>
      <c r="F892" t="s">
        <v>2097</v>
      </c>
      <c r="G892" t="str">
        <f>"00515426"</f>
        <v>00515426</v>
      </c>
      <c r="H892">
        <v>50.4</v>
      </c>
      <c r="I892">
        <v>0</v>
      </c>
      <c r="M892">
        <v>0</v>
      </c>
      <c r="N892">
        <v>4</v>
      </c>
      <c r="O892">
        <v>0</v>
      </c>
      <c r="P892">
        <v>54.4</v>
      </c>
      <c r="Q892">
        <v>27</v>
      </c>
      <c r="R892">
        <v>27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27</v>
      </c>
      <c r="Z892">
        <v>6</v>
      </c>
      <c r="AA892">
        <v>0</v>
      </c>
      <c r="AC892">
        <v>87.4</v>
      </c>
    </row>
    <row r="893" spans="1:29">
      <c r="A893">
        <v>886</v>
      </c>
      <c r="B893">
        <v>4300</v>
      </c>
      <c r="C893" t="s">
        <v>2098</v>
      </c>
      <c r="D893" t="s">
        <v>27</v>
      </c>
      <c r="E893" t="s">
        <v>156</v>
      </c>
      <c r="F893" t="s">
        <v>2099</v>
      </c>
      <c r="G893" t="str">
        <f>"00503614"</f>
        <v>00503614</v>
      </c>
      <c r="H893">
        <v>14.4</v>
      </c>
      <c r="I893">
        <v>0</v>
      </c>
      <c r="L893">
        <v>4</v>
      </c>
      <c r="M893">
        <v>4</v>
      </c>
      <c r="N893">
        <v>4</v>
      </c>
      <c r="O893">
        <v>2</v>
      </c>
      <c r="P893">
        <v>24.4</v>
      </c>
      <c r="Q893">
        <v>60</v>
      </c>
      <c r="R893">
        <v>60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60</v>
      </c>
      <c r="Z893">
        <v>3</v>
      </c>
      <c r="AA893">
        <v>0</v>
      </c>
      <c r="AC893">
        <v>87.4</v>
      </c>
    </row>
    <row r="894" spans="1:29">
      <c r="A894">
        <v>887</v>
      </c>
      <c r="B894">
        <v>1003</v>
      </c>
      <c r="C894" t="s">
        <v>2100</v>
      </c>
      <c r="D894" t="s">
        <v>1138</v>
      </c>
      <c r="E894" t="s">
        <v>36</v>
      </c>
      <c r="F894" t="s">
        <v>2101</v>
      </c>
      <c r="G894" t="str">
        <f>"00442225"</f>
        <v>00442225</v>
      </c>
      <c r="H894">
        <v>50.4</v>
      </c>
      <c r="I894">
        <v>0</v>
      </c>
      <c r="M894">
        <v>0</v>
      </c>
      <c r="N894">
        <v>0</v>
      </c>
      <c r="O894">
        <v>0</v>
      </c>
      <c r="P894">
        <v>50.4</v>
      </c>
      <c r="Q894">
        <v>37</v>
      </c>
      <c r="R894">
        <v>37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37</v>
      </c>
      <c r="Z894">
        <v>0</v>
      </c>
      <c r="AA894">
        <v>0</v>
      </c>
      <c r="AC894">
        <v>87.4</v>
      </c>
    </row>
    <row r="895" spans="1:29">
      <c r="A895">
        <v>888</v>
      </c>
      <c r="B895">
        <v>1201</v>
      </c>
      <c r="C895" t="s">
        <v>2102</v>
      </c>
      <c r="D895" t="s">
        <v>108</v>
      </c>
      <c r="E895" t="s">
        <v>18</v>
      </c>
      <c r="F895" t="s">
        <v>2103</v>
      </c>
      <c r="G895" t="str">
        <f>"00527072"</f>
        <v>00527072</v>
      </c>
      <c r="H895">
        <v>36.28</v>
      </c>
      <c r="I895">
        <v>0</v>
      </c>
      <c r="M895">
        <v>0</v>
      </c>
      <c r="N895">
        <v>0</v>
      </c>
      <c r="O895">
        <v>0</v>
      </c>
      <c r="P895">
        <v>36.28</v>
      </c>
      <c r="Q895">
        <v>25</v>
      </c>
      <c r="R895">
        <v>25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25</v>
      </c>
      <c r="Z895">
        <v>6</v>
      </c>
      <c r="AA895">
        <v>20</v>
      </c>
      <c r="AC895">
        <v>87.28</v>
      </c>
    </row>
    <row r="896" spans="1:29">
      <c r="A896">
        <v>889</v>
      </c>
      <c r="B896">
        <v>4147</v>
      </c>
      <c r="C896" t="s">
        <v>2104</v>
      </c>
      <c r="D896" t="s">
        <v>27</v>
      </c>
      <c r="E896" t="s">
        <v>2105</v>
      </c>
      <c r="F896" t="s">
        <v>2106</v>
      </c>
      <c r="G896" t="str">
        <f>"00519875"</f>
        <v>00519875</v>
      </c>
      <c r="H896">
        <v>0</v>
      </c>
      <c r="I896">
        <v>10</v>
      </c>
      <c r="J896">
        <v>8</v>
      </c>
      <c r="M896">
        <v>8</v>
      </c>
      <c r="N896">
        <v>4</v>
      </c>
      <c r="O896">
        <v>0</v>
      </c>
      <c r="P896">
        <v>22</v>
      </c>
      <c r="Q896">
        <v>53</v>
      </c>
      <c r="R896">
        <v>53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53</v>
      </c>
      <c r="Z896">
        <v>12</v>
      </c>
      <c r="AA896">
        <v>0</v>
      </c>
      <c r="AC896">
        <v>87</v>
      </c>
    </row>
    <row r="897" spans="1:29">
      <c r="A897">
        <v>890</v>
      </c>
      <c r="B897">
        <v>1135</v>
      </c>
      <c r="C897" t="s">
        <v>2107</v>
      </c>
      <c r="D897" t="s">
        <v>448</v>
      </c>
      <c r="E897" t="s">
        <v>156</v>
      </c>
      <c r="F897" t="s">
        <v>2108</v>
      </c>
      <c r="G897" t="str">
        <f>"00858464"</f>
        <v>00858464</v>
      </c>
      <c r="H897">
        <v>72</v>
      </c>
      <c r="I897">
        <v>0</v>
      </c>
      <c r="L897">
        <v>8</v>
      </c>
      <c r="M897">
        <v>8</v>
      </c>
      <c r="N897">
        <v>4</v>
      </c>
      <c r="O897">
        <v>0</v>
      </c>
      <c r="P897">
        <v>84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3</v>
      </c>
      <c r="AA897">
        <v>0</v>
      </c>
      <c r="AC897">
        <v>87</v>
      </c>
    </row>
    <row r="898" spans="1:29">
      <c r="A898">
        <v>891</v>
      </c>
      <c r="B898">
        <v>4455</v>
      </c>
      <c r="C898" t="s">
        <v>2109</v>
      </c>
      <c r="D898" t="s">
        <v>735</v>
      </c>
      <c r="E898" t="s">
        <v>134</v>
      </c>
      <c r="F898" t="s">
        <v>2110</v>
      </c>
      <c r="G898" t="str">
        <f>"00532240"</f>
        <v>00532240</v>
      </c>
      <c r="H898">
        <v>24</v>
      </c>
      <c r="I898">
        <v>0</v>
      </c>
      <c r="M898">
        <v>0</v>
      </c>
      <c r="N898">
        <v>4</v>
      </c>
      <c r="O898">
        <v>2</v>
      </c>
      <c r="P898">
        <v>30</v>
      </c>
      <c r="Q898">
        <v>38</v>
      </c>
      <c r="R898">
        <v>38</v>
      </c>
      <c r="S898">
        <v>8</v>
      </c>
      <c r="T898">
        <v>16</v>
      </c>
      <c r="U898">
        <v>0</v>
      </c>
      <c r="V898">
        <v>0</v>
      </c>
      <c r="W898">
        <v>0</v>
      </c>
      <c r="X898">
        <v>0</v>
      </c>
      <c r="Y898">
        <v>54</v>
      </c>
      <c r="Z898">
        <v>3</v>
      </c>
      <c r="AA898">
        <v>0</v>
      </c>
      <c r="AC898">
        <v>87</v>
      </c>
    </row>
    <row r="899" spans="1:29">
      <c r="A899">
        <v>892</v>
      </c>
      <c r="B899">
        <v>1582</v>
      </c>
      <c r="C899" t="s">
        <v>2111</v>
      </c>
      <c r="D899" t="s">
        <v>251</v>
      </c>
      <c r="E899" t="s">
        <v>156</v>
      </c>
      <c r="F899" t="s">
        <v>2112</v>
      </c>
      <c r="G899" t="str">
        <f>"00152607"</f>
        <v>00152607</v>
      </c>
      <c r="H899">
        <v>36</v>
      </c>
      <c r="I899">
        <v>10</v>
      </c>
      <c r="J899">
        <v>8</v>
      </c>
      <c r="M899">
        <v>8</v>
      </c>
      <c r="N899">
        <v>4</v>
      </c>
      <c r="O899">
        <v>2</v>
      </c>
      <c r="P899">
        <v>60</v>
      </c>
      <c r="Q899">
        <v>27</v>
      </c>
      <c r="R899">
        <v>27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27</v>
      </c>
      <c r="Z899">
        <v>0</v>
      </c>
      <c r="AA899">
        <v>0</v>
      </c>
      <c r="AC899">
        <v>87</v>
      </c>
    </row>
    <row r="900" spans="1:29">
      <c r="A900">
        <v>893</v>
      </c>
      <c r="B900">
        <v>1127</v>
      </c>
      <c r="C900" t="s">
        <v>2113</v>
      </c>
      <c r="D900" t="s">
        <v>108</v>
      </c>
      <c r="E900" t="s">
        <v>337</v>
      </c>
      <c r="F900" t="s">
        <v>2114</v>
      </c>
      <c r="G900" t="str">
        <f>"00376919"</f>
        <v>00376919</v>
      </c>
      <c r="H900">
        <v>30.92</v>
      </c>
      <c r="I900">
        <v>0</v>
      </c>
      <c r="L900">
        <v>4</v>
      </c>
      <c r="M900">
        <v>4</v>
      </c>
      <c r="N900">
        <v>4</v>
      </c>
      <c r="O900">
        <v>2</v>
      </c>
      <c r="P900">
        <v>40.92</v>
      </c>
      <c r="Q900">
        <v>37</v>
      </c>
      <c r="R900">
        <v>37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37</v>
      </c>
      <c r="Z900">
        <v>9</v>
      </c>
      <c r="AA900">
        <v>0</v>
      </c>
      <c r="AC900">
        <v>86.92</v>
      </c>
    </row>
    <row r="901" spans="1:29">
      <c r="A901">
        <v>894</v>
      </c>
      <c r="B901">
        <v>4413</v>
      </c>
      <c r="C901" t="s">
        <v>178</v>
      </c>
      <c r="D901" t="s">
        <v>2115</v>
      </c>
      <c r="E901" t="s">
        <v>379</v>
      </c>
      <c r="F901" t="s">
        <v>2116</v>
      </c>
      <c r="G901" t="str">
        <f>"00005645"</f>
        <v>00005645</v>
      </c>
      <c r="H901">
        <v>38</v>
      </c>
      <c r="I901">
        <v>10</v>
      </c>
      <c r="M901">
        <v>0</v>
      </c>
      <c r="N901">
        <v>4</v>
      </c>
      <c r="O901">
        <v>2</v>
      </c>
      <c r="P901">
        <v>54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6</v>
      </c>
      <c r="AA901">
        <v>26.8</v>
      </c>
      <c r="AC901">
        <v>86.8</v>
      </c>
    </row>
    <row r="902" spans="1:29">
      <c r="A902">
        <v>895</v>
      </c>
      <c r="B902">
        <v>4779</v>
      </c>
      <c r="C902" t="s">
        <v>2117</v>
      </c>
      <c r="D902" t="s">
        <v>276</v>
      </c>
      <c r="E902" t="s">
        <v>66</v>
      </c>
      <c r="F902" t="s">
        <v>2118</v>
      </c>
      <c r="G902" t="str">
        <f>"200802004167"</f>
        <v>200802004167</v>
      </c>
      <c r="H902">
        <v>64.8</v>
      </c>
      <c r="I902">
        <v>0</v>
      </c>
      <c r="L902">
        <v>4</v>
      </c>
      <c r="M902">
        <v>4</v>
      </c>
      <c r="N902">
        <v>0</v>
      </c>
      <c r="O902">
        <v>0</v>
      </c>
      <c r="P902">
        <v>68.8</v>
      </c>
      <c r="Q902">
        <v>18</v>
      </c>
      <c r="R902">
        <v>18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18</v>
      </c>
      <c r="Z902">
        <v>0</v>
      </c>
      <c r="AA902">
        <v>0</v>
      </c>
      <c r="AC902">
        <v>86.8</v>
      </c>
    </row>
    <row r="903" spans="1:29">
      <c r="A903">
        <v>896</v>
      </c>
      <c r="B903">
        <v>1020</v>
      </c>
      <c r="C903" t="s">
        <v>2119</v>
      </c>
      <c r="D903" t="s">
        <v>784</v>
      </c>
      <c r="E903" t="s">
        <v>970</v>
      </c>
      <c r="F903" t="s">
        <v>2120</v>
      </c>
      <c r="G903" t="str">
        <f>"00515821"</f>
        <v>00515821</v>
      </c>
      <c r="H903">
        <v>28.8</v>
      </c>
      <c r="I903">
        <v>0</v>
      </c>
      <c r="J903">
        <v>8</v>
      </c>
      <c r="M903">
        <v>8</v>
      </c>
      <c r="N903">
        <v>4</v>
      </c>
      <c r="O903">
        <v>2</v>
      </c>
      <c r="P903">
        <v>42.8</v>
      </c>
      <c r="Q903">
        <v>44</v>
      </c>
      <c r="R903">
        <v>44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44</v>
      </c>
      <c r="Z903">
        <v>0</v>
      </c>
      <c r="AA903">
        <v>0</v>
      </c>
      <c r="AC903">
        <v>86.8</v>
      </c>
    </row>
    <row r="904" spans="1:29">
      <c r="A904">
        <v>897</v>
      </c>
      <c r="B904">
        <v>3365</v>
      </c>
      <c r="C904" t="s">
        <v>2121</v>
      </c>
      <c r="D904" t="s">
        <v>52</v>
      </c>
      <c r="E904" t="s">
        <v>79</v>
      </c>
      <c r="F904" t="s">
        <v>2122</v>
      </c>
      <c r="G904" t="str">
        <f>"00154781"</f>
        <v>00154781</v>
      </c>
      <c r="H904">
        <v>37.6</v>
      </c>
      <c r="I904">
        <v>0</v>
      </c>
      <c r="J904">
        <v>8</v>
      </c>
      <c r="M904">
        <v>8</v>
      </c>
      <c r="N904">
        <v>4</v>
      </c>
      <c r="O904">
        <v>2</v>
      </c>
      <c r="P904">
        <v>51.6</v>
      </c>
      <c r="Q904">
        <v>26</v>
      </c>
      <c r="R904">
        <v>26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26</v>
      </c>
      <c r="Z904">
        <v>9</v>
      </c>
      <c r="AA904">
        <v>0</v>
      </c>
      <c r="AC904">
        <v>86.6</v>
      </c>
    </row>
    <row r="905" spans="1:29">
      <c r="A905">
        <v>898</v>
      </c>
      <c r="B905">
        <v>2801</v>
      </c>
      <c r="C905" t="s">
        <v>453</v>
      </c>
      <c r="D905" t="s">
        <v>569</v>
      </c>
      <c r="E905" t="s">
        <v>15</v>
      </c>
      <c r="F905" t="s">
        <v>2123</v>
      </c>
      <c r="G905" t="str">
        <f>"00520492"</f>
        <v>00520492</v>
      </c>
      <c r="H905">
        <v>21.6</v>
      </c>
      <c r="I905">
        <v>0</v>
      </c>
      <c r="L905">
        <v>4</v>
      </c>
      <c r="M905">
        <v>4</v>
      </c>
      <c r="N905">
        <v>4</v>
      </c>
      <c r="O905">
        <v>2</v>
      </c>
      <c r="P905">
        <v>31.6</v>
      </c>
      <c r="Q905">
        <v>49</v>
      </c>
      <c r="R905">
        <v>49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49</v>
      </c>
      <c r="Z905">
        <v>6</v>
      </c>
      <c r="AA905">
        <v>0</v>
      </c>
      <c r="AC905">
        <v>86.6</v>
      </c>
    </row>
    <row r="906" spans="1:29">
      <c r="A906">
        <v>899</v>
      </c>
      <c r="B906">
        <v>212</v>
      </c>
      <c r="C906" t="s">
        <v>2124</v>
      </c>
      <c r="D906" t="s">
        <v>27</v>
      </c>
      <c r="E906" t="s">
        <v>647</v>
      </c>
      <c r="F906" t="s">
        <v>2125</v>
      </c>
      <c r="G906" t="str">
        <f>"00182991"</f>
        <v>00182991</v>
      </c>
      <c r="H906">
        <v>57.6</v>
      </c>
      <c r="I906">
        <v>0</v>
      </c>
      <c r="M906">
        <v>0</v>
      </c>
      <c r="N906">
        <v>0</v>
      </c>
      <c r="O906">
        <v>2</v>
      </c>
      <c r="P906">
        <v>59.6</v>
      </c>
      <c r="Q906">
        <v>27</v>
      </c>
      <c r="R906">
        <v>27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27</v>
      </c>
      <c r="Z906">
        <v>0</v>
      </c>
      <c r="AA906">
        <v>0</v>
      </c>
      <c r="AC906">
        <v>86.6</v>
      </c>
    </row>
    <row r="907" spans="1:29">
      <c r="A907">
        <v>900</v>
      </c>
      <c r="B907">
        <v>2275</v>
      </c>
      <c r="C907" t="s">
        <v>2126</v>
      </c>
      <c r="D907" t="s">
        <v>2127</v>
      </c>
      <c r="E907" t="s">
        <v>533</v>
      </c>
      <c r="F907" t="s">
        <v>2128</v>
      </c>
      <c r="G907" t="str">
        <f>"00530723"</f>
        <v>00530723</v>
      </c>
      <c r="H907">
        <v>29.52</v>
      </c>
      <c r="I907">
        <v>10</v>
      </c>
      <c r="M907">
        <v>0</v>
      </c>
      <c r="N907">
        <v>0</v>
      </c>
      <c r="O907">
        <v>2</v>
      </c>
      <c r="P907">
        <v>41.52</v>
      </c>
      <c r="Q907">
        <v>39</v>
      </c>
      <c r="R907">
        <v>39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39</v>
      </c>
      <c r="Z907">
        <v>6</v>
      </c>
      <c r="AA907">
        <v>0</v>
      </c>
      <c r="AC907">
        <v>86.52</v>
      </c>
    </row>
    <row r="908" spans="1:29">
      <c r="A908">
        <v>901</v>
      </c>
      <c r="B908">
        <v>796</v>
      </c>
      <c r="C908" t="s">
        <v>2129</v>
      </c>
      <c r="D908" t="s">
        <v>2130</v>
      </c>
      <c r="E908" t="s">
        <v>2131</v>
      </c>
      <c r="F908">
        <v>663707</v>
      </c>
      <c r="G908" t="str">
        <f>"00143655"</f>
        <v>00143655</v>
      </c>
      <c r="H908">
        <v>32.44</v>
      </c>
      <c r="I908">
        <v>0</v>
      </c>
      <c r="M908">
        <v>0</v>
      </c>
      <c r="N908">
        <v>4</v>
      </c>
      <c r="O908">
        <v>0</v>
      </c>
      <c r="P908">
        <v>36.44</v>
      </c>
      <c r="Q908">
        <v>50</v>
      </c>
      <c r="R908">
        <v>50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50</v>
      </c>
      <c r="Z908">
        <v>0</v>
      </c>
      <c r="AA908">
        <v>0</v>
      </c>
      <c r="AC908">
        <v>86.44</v>
      </c>
    </row>
    <row r="909" spans="1:29">
      <c r="A909">
        <v>902</v>
      </c>
      <c r="B909">
        <v>4118</v>
      </c>
      <c r="C909" t="s">
        <v>2132</v>
      </c>
      <c r="D909" t="s">
        <v>465</v>
      </c>
      <c r="E909" t="s">
        <v>32</v>
      </c>
      <c r="F909" t="s">
        <v>2133</v>
      </c>
      <c r="G909" t="str">
        <f>"00509119"</f>
        <v>00509119</v>
      </c>
      <c r="H909">
        <v>50.4</v>
      </c>
      <c r="I909">
        <v>0</v>
      </c>
      <c r="J909">
        <v>8</v>
      </c>
      <c r="L909">
        <v>4</v>
      </c>
      <c r="M909">
        <v>12</v>
      </c>
      <c r="N909">
        <v>4</v>
      </c>
      <c r="O909">
        <v>2</v>
      </c>
      <c r="P909">
        <v>68.400000000000006</v>
      </c>
      <c r="Q909">
        <v>18</v>
      </c>
      <c r="R909">
        <v>18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18</v>
      </c>
      <c r="Z909">
        <v>0</v>
      </c>
      <c r="AA909">
        <v>0</v>
      </c>
      <c r="AC909">
        <v>86.4</v>
      </c>
    </row>
    <row r="910" spans="1:29">
      <c r="A910">
        <v>903</v>
      </c>
      <c r="B910">
        <v>2370</v>
      </c>
      <c r="C910" t="s">
        <v>2134</v>
      </c>
      <c r="D910" t="s">
        <v>2135</v>
      </c>
      <c r="E910" t="s">
        <v>79</v>
      </c>
      <c r="F910" t="s">
        <v>2136</v>
      </c>
      <c r="G910" t="str">
        <f>"00045567"</f>
        <v>00045567</v>
      </c>
      <c r="H910">
        <v>26.28</v>
      </c>
      <c r="I910">
        <v>0</v>
      </c>
      <c r="J910">
        <v>8</v>
      </c>
      <c r="M910">
        <v>8</v>
      </c>
      <c r="N910">
        <v>4</v>
      </c>
      <c r="O910">
        <v>0</v>
      </c>
      <c r="P910">
        <v>38.28</v>
      </c>
      <c r="Q910">
        <v>39</v>
      </c>
      <c r="R910">
        <v>39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39</v>
      </c>
      <c r="Z910">
        <v>9</v>
      </c>
      <c r="AA910">
        <v>0</v>
      </c>
      <c r="AC910">
        <v>86.28</v>
      </c>
    </row>
    <row r="911" spans="1:29">
      <c r="A911">
        <v>904</v>
      </c>
      <c r="B911">
        <v>2562</v>
      </c>
      <c r="C911" t="s">
        <v>2137</v>
      </c>
      <c r="D911" t="s">
        <v>52</v>
      </c>
      <c r="E911" t="s">
        <v>156</v>
      </c>
      <c r="F911" t="s">
        <v>2138</v>
      </c>
      <c r="G911" t="str">
        <f>"00526648"</f>
        <v>00526648</v>
      </c>
      <c r="H911">
        <v>43.2</v>
      </c>
      <c r="I911">
        <v>0</v>
      </c>
      <c r="K911">
        <v>6</v>
      </c>
      <c r="L911">
        <v>4</v>
      </c>
      <c r="M911">
        <v>10</v>
      </c>
      <c r="N911">
        <v>4</v>
      </c>
      <c r="O911">
        <v>2</v>
      </c>
      <c r="P911">
        <v>59.2</v>
      </c>
      <c r="Q911">
        <v>27</v>
      </c>
      <c r="R911">
        <v>27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27</v>
      </c>
      <c r="Z911">
        <v>0</v>
      </c>
      <c r="AA911">
        <v>0</v>
      </c>
      <c r="AC911">
        <v>86.2</v>
      </c>
    </row>
    <row r="912" spans="1:29">
      <c r="A912">
        <v>905</v>
      </c>
      <c r="B912">
        <v>32</v>
      </c>
      <c r="C912" t="s">
        <v>2139</v>
      </c>
      <c r="D912" t="s">
        <v>1474</v>
      </c>
      <c r="E912" t="s">
        <v>337</v>
      </c>
      <c r="F912" t="s">
        <v>2140</v>
      </c>
      <c r="G912" t="str">
        <f>"00515470"</f>
        <v>00515470</v>
      </c>
      <c r="H912">
        <v>43.2</v>
      </c>
      <c r="I912">
        <v>10</v>
      </c>
      <c r="L912">
        <v>4</v>
      </c>
      <c r="M912">
        <v>4</v>
      </c>
      <c r="N912">
        <v>0</v>
      </c>
      <c r="O912">
        <v>0</v>
      </c>
      <c r="P912">
        <v>57.2</v>
      </c>
      <c r="Q912">
        <v>29</v>
      </c>
      <c r="R912">
        <v>29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29</v>
      </c>
      <c r="Z912">
        <v>0</v>
      </c>
      <c r="AA912">
        <v>0</v>
      </c>
      <c r="AC912">
        <v>86.2</v>
      </c>
    </row>
    <row r="913" spans="1:29">
      <c r="A913">
        <v>906</v>
      </c>
      <c r="B913">
        <v>4339</v>
      </c>
      <c r="C913" t="s">
        <v>2141</v>
      </c>
      <c r="D913" t="s">
        <v>205</v>
      </c>
      <c r="E913" t="s">
        <v>28</v>
      </c>
      <c r="F913" t="s">
        <v>2142</v>
      </c>
      <c r="G913" t="str">
        <f>"00515968"</f>
        <v>00515968</v>
      </c>
      <c r="H913">
        <v>7.2</v>
      </c>
      <c r="I913">
        <v>0</v>
      </c>
      <c r="J913">
        <v>8</v>
      </c>
      <c r="M913">
        <v>8</v>
      </c>
      <c r="N913">
        <v>4</v>
      </c>
      <c r="O913">
        <v>2</v>
      </c>
      <c r="P913">
        <v>21.2</v>
      </c>
      <c r="Q913">
        <v>65</v>
      </c>
      <c r="R913">
        <v>65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65</v>
      </c>
      <c r="Z913">
        <v>0</v>
      </c>
      <c r="AA913">
        <v>0</v>
      </c>
      <c r="AC913">
        <v>86.2</v>
      </c>
    </row>
    <row r="914" spans="1:29">
      <c r="A914">
        <v>907</v>
      </c>
      <c r="B914">
        <v>3270</v>
      </c>
      <c r="C914" t="s">
        <v>2143</v>
      </c>
      <c r="D914" t="s">
        <v>17</v>
      </c>
      <c r="E914" t="s">
        <v>89</v>
      </c>
      <c r="F914" t="s">
        <v>2144</v>
      </c>
      <c r="G914" t="str">
        <f>"201511019074"</f>
        <v>201511019074</v>
      </c>
      <c r="H914">
        <v>72</v>
      </c>
      <c r="I914">
        <v>0</v>
      </c>
      <c r="L914">
        <v>4</v>
      </c>
      <c r="M914">
        <v>4</v>
      </c>
      <c r="N914">
        <v>4</v>
      </c>
      <c r="O914">
        <v>0</v>
      </c>
      <c r="P914">
        <v>80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6</v>
      </c>
      <c r="AA914">
        <v>0</v>
      </c>
      <c r="AC914">
        <v>86</v>
      </c>
    </row>
    <row r="915" spans="1:29">
      <c r="A915">
        <v>908</v>
      </c>
      <c r="B915">
        <v>2695</v>
      </c>
      <c r="C915" t="s">
        <v>2119</v>
      </c>
      <c r="D915" t="s">
        <v>20</v>
      </c>
      <c r="E915" t="s">
        <v>2145</v>
      </c>
      <c r="F915" t="s">
        <v>2146</v>
      </c>
      <c r="G915" t="str">
        <f>"00358349"</f>
        <v>00358349</v>
      </c>
      <c r="H915">
        <v>36</v>
      </c>
      <c r="I915">
        <v>0</v>
      </c>
      <c r="L915">
        <v>4</v>
      </c>
      <c r="M915">
        <v>4</v>
      </c>
      <c r="N915">
        <v>4</v>
      </c>
      <c r="O915">
        <v>2</v>
      </c>
      <c r="P915">
        <v>46</v>
      </c>
      <c r="Q915">
        <v>34</v>
      </c>
      <c r="R915">
        <v>34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34</v>
      </c>
      <c r="Z915">
        <v>6</v>
      </c>
      <c r="AA915">
        <v>0</v>
      </c>
      <c r="AC915">
        <v>86</v>
      </c>
    </row>
    <row r="916" spans="1:29">
      <c r="A916">
        <v>909</v>
      </c>
      <c r="B916">
        <v>1024</v>
      </c>
      <c r="C916" t="s">
        <v>287</v>
      </c>
      <c r="D916" t="s">
        <v>20</v>
      </c>
      <c r="E916" t="s">
        <v>187</v>
      </c>
      <c r="F916" t="s">
        <v>2151</v>
      </c>
      <c r="G916" t="str">
        <f>"00558502"</f>
        <v>00558502</v>
      </c>
      <c r="H916">
        <v>72</v>
      </c>
      <c r="I916">
        <v>10</v>
      </c>
      <c r="M916">
        <v>0</v>
      </c>
      <c r="N916">
        <v>4</v>
      </c>
      <c r="O916">
        <v>0</v>
      </c>
      <c r="P916">
        <v>86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C916">
        <v>86</v>
      </c>
    </row>
    <row r="917" spans="1:29">
      <c r="A917">
        <v>910</v>
      </c>
      <c r="B917">
        <v>164</v>
      </c>
      <c r="C917" t="s">
        <v>2149</v>
      </c>
      <c r="D917" t="s">
        <v>164</v>
      </c>
      <c r="E917" t="s">
        <v>50</v>
      </c>
      <c r="F917" t="s">
        <v>2150</v>
      </c>
      <c r="G917" t="str">
        <f>"00855572"</f>
        <v>00855572</v>
      </c>
      <c r="H917">
        <v>72</v>
      </c>
      <c r="I917">
        <v>10</v>
      </c>
      <c r="M917">
        <v>0</v>
      </c>
      <c r="N917">
        <v>4</v>
      </c>
      <c r="O917">
        <v>0</v>
      </c>
      <c r="P917">
        <v>86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C917">
        <v>86</v>
      </c>
    </row>
    <row r="918" spans="1:29">
      <c r="A918">
        <v>911</v>
      </c>
      <c r="B918">
        <v>702</v>
      </c>
      <c r="C918" t="s">
        <v>2147</v>
      </c>
      <c r="D918" t="s">
        <v>102</v>
      </c>
      <c r="E918" t="s">
        <v>77</v>
      </c>
      <c r="F918" t="s">
        <v>2148</v>
      </c>
      <c r="G918" t="str">
        <f>"00176138"</f>
        <v>00176138</v>
      </c>
      <c r="H918">
        <v>72</v>
      </c>
      <c r="I918">
        <v>0</v>
      </c>
      <c r="J918">
        <v>8</v>
      </c>
      <c r="M918">
        <v>8</v>
      </c>
      <c r="N918">
        <v>4</v>
      </c>
      <c r="O918">
        <v>2</v>
      </c>
      <c r="P918">
        <v>86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C918">
        <v>86</v>
      </c>
    </row>
    <row r="919" spans="1:29">
      <c r="A919">
        <v>912</v>
      </c>
      <c r="B919">
        <v>1620</v>
      </c>
      <c r="C919" t="s">
        <v>2152</v>
      </c>
      <c r="D919" t="s">
        <v>400</v>
      </c>
      <c r="E919" t="s">
        <v>515</v>
      </c>
      <c r="F919" t="s">
        <v>2153</v>
      </c>
      <c r="G919" t="str">
        <f>"201604001811"</f>
        <v>201604001811</v>
      </c>
      <c r="H919">
        <v>36</v>
      </c>
      <c r="I919">
        <v>0</v>
      </c>
      <c r="J919">
        <v>8</v>
      </c>
      <c r="M919">
        <v>8</v>
      </c>
      <c r="N919">
        <v>4</v>
      </c>
      <c r="O919">
        <v>2</v>
      </c>
      <c r="P919">
        <v>50</v>
      </c>
      <c r="Q919">
        <v>36</v>
      </c>
      <c r="R919">
        <v>36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36</v>
      </c>
      <c r="Z919">
        <v>0</v>
      </c>
      <c r="AA919">
        <v>0</v>
      </c>
      <c r="AC919">
        <v>86</v>
      </c>
    </row>
    <row r="920" spans="1:29">
      <c r="A920">
        <v>913</v>
      </c>
      <c r="B920">
        <v>459</v>
      </c>
      <c r="C920" t="s">
        <v>2154</v>
      </c>
      <c r="D920" t="s">
        <v>2155</v>
      </c>
      <c r="E920" t="s">
        <v>15</v>
      </c>
      <c r="F920" t="s">
        <v>2156</v>
      </c>
      <c r="G920" t="str">
        <f>"00517704"</f>
        <v>00517704</v>
      </c>
      <c r="H920">
        <v>36</v>
      </c>
      <c r="I920">
        <v>0</v>
      </c>
      <c r="M920">
        <v>0</v>
      </c>
      <c r="N920">
        <v>0</v>
      </c>
      <c r="O920">
        <v>0</v>
      </c>
      <c r="P920">
        <v>36</v>
      </c>
      <c r="Q920">
        <v>50</v>
      </c>
      <c r="R920">
        <v>50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50</v>
      </c>
      <c r="Z920">
        <v>0</v>
      </c>
      <c r="AA920">
        <v>0</v>
      </c>
      <c r="AC920">
        <v>86</v>
      </c>
    </row>
    <row r="921" spans="1:29">
      <c r="A921">
        <v>914</v>
      </c>
      <c r="B921">
        <v>4327</v>
      </c>
      <c r="C921" t="s">
        <v>2157</v>
      </c>
      <c r="D921" t="s">
        <v>20</v>
      </c>
      <c r="E921" t="s">
        <v>36</v>
      </c>
      <c r="F921" t="s">
        <v>2158</v>
      </c>
      <c r="G921" t="str">
        <f>"00488553"</f>
        <v>00488553</v>
      </c>
      <c r="H921">
        <v>28.8</v>
      </c>
      <c r="I921">
        <v>10</v>
      </c>
      <c r="M921">
        <v>0</v>
      </c>
      <c r="N921">
        <v>0</v>
      </c>
      <c r="O921">
        <v>2</v>
      </c>
      <c r="P921">
        <v>40.799999999999997</v>
      </c>
      <c r="Q921">
        <v>45</v>
      </c>
      <c r="R921">
        <v>45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45</v>
      </c>
      <c r="Z921">
        <v>0</v>
      </c>
      <c r="AA921">
        <v>0</v>
      </c>
      <c r="AC921">
        <v>85.8</v>
      </c>
    </row>
    <row r="922" spans="1:29">
      <c r="A922">
        <v>915</v>
      </c>
      <c r="B922">
        <v>152</v>
      </c>
      <c r="C922" t="s">
        <v>2159</v>
      </c>
      <c r="D922" t="s">
        <v>108</v>
      </c>
      <c r="E922" t="s">
        <v>1263</v>
      </c>
      <c r="F922" t="s">
        <v>2160</v>
      </c>
      <c r="G922" t="str">
        <f>"00857569"</f>
        <v>00857569</v>
      </c>
      <c r="H922">
        <v>27.6</v>
      </c>
      <c r="I922">
        <v>0</v>
      </c>
      <c r="J922">
        <v>8</v>
      </c>
      <c r="M922">
        <v>8</v>
      </c>
      <c r="N922">
        <v>4</v>
      </c>
      <c r="O922">
        <v>0</v>
      </c>
      <c r="P922">
        <v>39.6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6</v>
      </c>
      <c r="AA922">
        <v>40</v>
      </c>
      <c r="AC922">
        <v>85.6</v>
      </c>
    </row>
    <row r="923" spans="1:29">
      <c r="A923">
        <v>916</v>
      </c>
      <c r="B923">
        <v>1269</v>
      </c>
      <c r="C923" t="s">
        <v>2161</v>
      </c>
      <c r="D923" t="s">
        <v>2162</v>
      </c>
      <c r="E923" t="s">
        <v>2163</v>
      </c>
      <c r="F923" t="s">
        <v>2164</v>
      </c>
      <c r="G923" t="str">
        <f>"00200020"</f>
        <v>00200020</v>
      </c>
      <c r="H923">
        <v>37.6</v>
      </c>
      <c r="I923">
        <v>0</v>
      </c>
      <c r="L923">
        <v>4</v>
      </c>
      <c r="M923">
        <v>4</v>
      </c>
      <c r="N923">
        <v>4</v>
      </c>
      <c r="O923">
        <v>2</v>
      </c>
      <c r="P923">
        <v>47.6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6</v>
      </c>
      <c r="AA923">
        <v>32</v>
      </c>
      <c r="AC923">
        <v>85.6</v>
      </c>
    </row>
    <row r="924" spans="1:29">
      <c r="A924">
        <v>917</v>
      </c>
      <c r="B924">
        <v>1669</v>
      </c>
      <c r="C924" t="s">
        <v>2165</v>
      </c>
      <c r="D924" t="s">
        <v>170</v>
      </c>
      <c r="E924" t="s">
        <v>1450</v>
      </c>
      <c r="F924" t="s">
        <v>2166</v>
      </c>
      <c r="G924" t="str">
        <f>"00511930"</f>
        <v>00511930</v>
      </c>
      <c r="H924">
        <v>39.6</v>
      </c>
      <c r="I924">
        <v>0</v>
      </c>
      <c r="J924">
        <v>16</v>
      </c>
      <c r="M924">
        <v>16</v>
      </c>
      <c r="N924">
        <v>4</v>
      </c>
      <c r="O924">
        <v>2</v>
      </c>
      <c r="P924">
        <v>61.6</v>
      </c>
      <c r="Q924">
        <v>24</v>
      </c>
      <c r="R924">
        <v>24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24</v>
      </c>
      <c r="Z924">
        <v>0</v>
      </c>
      <c r="AA924">
        <v>0</v>
      </c>
      <c r="AC924">
        <v>85.6</v>
      </c>
    </row>
    <row r="925" spans="1:29">
      <c r="A925">
        <v>918</v>
      </c>
      <c r="B925">
        <v>2713</v>
      </c>
      <c r="C925" t="s">
        <v>2167</v>
      </c>
      <c r="D925" t="s">
        <v>205</v>
      </c>
      <c r="E925" t="s">
        <v>564</v>
      </c>
      <c r="F925" t="s">
        <v>2168</v>
      </c>
      <c r="G925" t="str">
        <f>"00533505"</f>
        <v>00533505</v>
      </c>
      <c r="H925">
        <v>14.56</v>
      </c>
      <c r="I925">
        <v>0</v>
      </c>
      <c r="L925">
        <v>4</v>
      </c>
      <c r="M925">
        <v>4</v>
      </c>
      <c r="N925">
        <v>4</v>
      </c>
      <c r="O925">
        <v>0</v>
      </c>
      <c r="P925">
        <v>22.56</v>
      </c>
      <c r="Q925">
        <v>63</v>
      </c>
      <c r="R925">
        <v>63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63</v>
      </c>
      <c r="Z925">
        <v>0</v>
      </c>
      <c r="AA925">
        <v>0</v>
      </c>
      <c r="AC925">
        <v>85.56</v>
      </c>
    </row>
    <row r="926" spans="1:29">
      <c r="A926">
        <v>919</v>
      </c>
      <c r="B926">
        <v>1844</v>
      </c>
      <c r="C926" t="s">
        <v>2169</v>
      </c>
      <c r="D926" t="s">
        <v>27</v>
      </c>
      <c r="E926" t="s">
        <v>77</v>
      </c>
      <c r="F926" t="s">
        <v>2170</v>
      </c>
      <c r="G926" t="str">
        <f>"00442204"</f>
        <v>00442204</v>
      </c>
      <c r="H926">
        <v>38.520000000000003</v>
      </c>
      <c r="I926">
        <v>0</v>
      </c>
      <c r="M926">
        <v>0</v>
      </c>
      <c r="N926">
        <v>4</v>
      </c>
      <c r="O926">
        <v>2</v>
      </c>
      <c r="P926">
        <v>44.52</v>
      </c>
      <c r="Q926">
        <v>38</v>
      </c>
      <c r="R926">
        <v>38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38</v>
      </c>
      <c r="Z926">
        <v>3</v>
      </c>
      <c r="AA926">
        <v>0</v>
      </c>
      <c r="AC926">
        <v>85.52</v>
      </c>
    </row>
    <row r="927" spans="1:29">
      <c r="A927">
        <v>920</v>
      </c>
      <c r="B927">
        <v>1287</v>
      </c>
      <c r="C927" t="s">
        <v>2171</v>
      </c>
      <c r="D927" t="s">
        <v>175</v>
      </c>
      <c r="E927" t="s">
        <v>60</v>
      </c>
      <c r="F927" t="s">
        <v>2172</v>
      </c>
      <c r="G927" t="str">
        <f>"00442528"</f>
        <v>00442528</v>
      </c>
      <c r="H927">
        <v>21.52</v>
      </c>
      <c r="I927">
        <v>10</v>
      </c>
      <c r="M927">
        <v>0</v>
      </c>
      <c r="N927">
        <v>0</v>
      </c>
      <c r="O927">
        <v>0</v>
      </c>
      <c r="P927">
        <v>31.52</v>
      </c>
      <c r="Q927">
        <v>54</v>
      </c>
      <c r="R927">
        <v>54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54</v>
      </c>
      <c r="Z927">
        <v>0</v>
      </c>
      <c r="AA927">
        <v>0</v>
      </c>
      <c r="AC927">
        <v>85.52</v>
      </c>
    </row>
    <row r="928" spans="1:29">
      <c r="A928">
        <v>921</v>
      </c>
      <c r="B928">
        <v>3425</v>
      </c>
      <c r="C928" t="s">
        <v>2173</v>
      </c>
      <c r="D928" t="s">
        <v>39</v>
      </c>
      <c r="E928" t="s">
        <v>18</v>
      </c>
      <c r="F928" t="s">
        <v>2174</v>
      </c>
      <c r="G928" t="str">
        <f>"00530384"</f>
        <v>00530384</v>
      </c>
      <c r="H928">
        <v>36.44</v>
      </c>
      <c r="I928">
        <v>0</v>
      </c>
      <c r="K928">
        <v>6</v>
      </c>
      <c r="M928">
        <v>6</v>
      </c>
      <c r="N928">
        <v>0</v>
      </c>
      <c r="O928">
        <v>2</v>
      </c>
      <c r="P928">
        <v>44.44</v>
      </c>
      <c r="Q928">
        <v>32</v>
      </c>
      <c r="R928">
        <v>32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32</v>
      </c>
      <c r="Z928">
        <v>9</v>
      </c>
      <c r="AA928">
        <v>0</v>
      </c>
      <c r="AC928">
        <v>85.44</v>
      </c>
    </row>
    <row r="929" spans="1:29">
      <c r="A929">
        <v>922</v>
      </c>
      <c r="B929">
        <v>2411</v>
      </c>
      <c r="C929" t="s">
        <v>2175</v>
      </c>
      <c r="D929" t="s">
        <v>130</v>
      </c>
      <c r="E929" t="s">
        <v>15</v>
      </c>
      <c r="F929" t="s">
        <v>2176</v>
      </c>
      <c r="G929" t="str">
        <f>"00531818"</f>
        <v>00531818</v>
      </c>
      <c r="H929">
        <v>14.4</v>
      </c>
      <c r="I929">
        <v>0</v>
      </c>
      <c r="M929">
        <v>0</v>
      </c>
      <c r="N929">
        <v>4</v>
      </c>
      <c r="O929">
        <v>0</v>
      </c>
      <c r="P929">
        <v>18.399999999999999</v>
      </c>
      <c r="Q929">
        <v>67</v>
      </c>
      <c r="R929">
        <v>67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67</v>
      </c>
      <c r="Z929">
        <v>0</v>
      </c>
      <c r="AA929">
        <v>0</v>
      </c>
      <c r="AC929">
        <v>85.4</v>
      </c>
    </row>
    <row r="930" spans="1:29">
      <c r="A930">
        <v>923</v>
      </c>
      <c r="B930">
        <v>4028</v>
      </c>
      <c r="C930" t="s">
        <v>2177</v>
      </c>
      <c r="D930" t="s">
        <v>52</v>
      </c>
      <c r="E930" t="s">
        <v>647</v>
      </c>
      <c r="F930" t="s">
        <v>2178</v>
      </c>
      <c r="G930" t="str">
        <f>"00090372"</f>
        <v>00090372</v>
      </c>
      <c r="H930">
        <v>36.36</v>
      </c>
      <c r="I930">
        <v>0</v>
      </c>
      <c r="J930">
        <v>8</v>
      </c>
      <c r="M930">
        <v>8</v>
      </c>
      <c r="N930">
        <v>4</v>
      </c>
      <c r="O930">
        <v>2</v>
      </c>
      <c r="P930">
        <v>50.36</v>
      </c>
      <c r="Q930">
        <v>26</v>
      </c>
      <c r="R930">
        <v>26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26</v>
      </c>
      <c r="Z930">
        <v>9</v>
      </c>
      <c r="AA930">
        <v>0</v>
      </c>
      <c r="AC930">
        <v>85.36</v>
      </c>
    </row>
    <row r="931" spans="1:29">
      <c r="A931">
        <v>924</v>
      </c>
      <c r="B931">
        <v>3811</v>
      </c>
      <c r="C931" t="s">
        <v>2179</v>
      </c>
      <c r="D931" t="s">
        <v>27</v>
      </c>
      <c r="E931" t="s">
        <v>53</v>
      </c>
      <c r="F931" t="s">
        <v>2180</v>
      </c>
      <c r="G931" t="str">
        <f>"00117019"</f>
        <v>00117019</v>
      </c>
      <c r="H931">
        <v>43.2</v>
      </c>
      <c r="I931">
        <v>10</v>
      </c>
      <c r="J931">
        <v>8</v>
      </c>
      <c r="M931">
        <v>8</v>
      </c>
      <c r="N931">
        <v>4</v>
      </c>
      <c r="O931">
        <v>2</v>
      </c>
      <c r="P931">
        <v>67.2</v>
      </c>
      <c r="Q931">
        <v>18</v>
      </c>
      <c r="R931">
        <v>18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18</v>
      </c>
      <c r="Z931">
        <v>0</v>
      </c>
      <c r="AA931">
        <v>0</v>
      </c>
      <c r="AC931">
        <v>85.2</v>
      </c>
    </row>
    <row r="932" spans="1:29">
      <c r="A932">
        <v>925</v>
      </c>
      <c r="B932">
        <v>1827</v>
      </c>
      <c r="C932" t="s">
        <v>2181</v>
      </c>
      <c r="D932" t="s">
        <v>98</v>
      </c>
      <c r="E932" t="s">
        <v>15</v>
      </c>
      <c r="F932" t="s">
        <v>2182</v>
      </c>
      <c r="G932" t="str">
        <f>"00519948"</f>
        <v>00519948</v>
      </c>
      <c r="H932">
        <v>43.2</v>
      </c>
      <c r="I932">
        <v>0</v>
      </c>
      <c r="L932">
        <v>4</v>
      </c>
      <c r="M932">
        <v>4</v>
      </c>
      <c r="N932">
        <v>4</v>
      </c>
      <c r="O932">
        <v>0</v>
      </c>
      <c r="P932">
        <v>51.2</v>
      </c>
      <c r="Q932">
        <v>34</v>
      </c>
      <c r="R932">
        <v>34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34</v>
      </c>
      <c r="Z932">
        <v>0</v>
      </c>
      <c r="AA932">
        <v>0</v>
      </c>
      <c r="AC932">
        <v>85.2</v>
      </c>
    </row>
    <row r="933" spans="1:29">
      <c r="A933">
        <v>926</v>
      </c>
      <c r="B933">
        <v>3308</v>
      </c>
      <c r="C933" t="s">
        <v>2183</v>
      </c>
      <c r="D933" t="s">
        <v>2184</v>
      </c>
      <c r="E933" t="s">
        <v>2185</v>
      </c>
      <c r="F933" t="s">
        <v>2186</v>
      </c>
      <c r="G933" t="str">
        <f>"00450919"</f>
        <v>00450919</v>
      </c>
      <c r="H933">
        <v>34</v>
      </c>
      <c r="I933">
        <v>0</v>
      </c>
      <c r="M933">
        <v>0</v>
      </c>
      <c r="N933">
        <v>0</v>
      </c>
      <c r="O933">
        <v>0</v>
      </c>
      <c r="P933">
        <v>34</v>
      </c>
      <c r="Q933">
        <v>19</v>
      </c>
      <c r="R933">
        <v>19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19</v>
      </c>
      <c r="Z933">
        <v>0</v>
      </c>
      <c r="AA933">
        <v>32</v>
      </c>
      <c r="AC933">
        <v>85</v>
      </c>
    </row>
    <row r="934" spans="1:29">
      <c r="A934">
        <v>927</v>
      </c>
      <c r="B934">
        <v>438</v>
      </c>
      <c r="C934" t="s">
        <v>2187</v>
      </c>
      <c r="D934" t="s">
        <v>141</v>
      </c>
      <c r="E934" t="s">
        <v>115</v>
      </c>
      <c r="F934" t="s">
        <v>2188</v>
      </c>
      <c r="G934" t="str">
        <f>"00483574"</f>
        <v>00483574</v>
      </c>
      <c r="H934">
        <v>24</v>
      </c>
      <c r="I934">
        <v>10</v>
      </c>
      <c r="J934">
        <v>8</v>
      </c>
      <c r="M934">
        <v>8</v>
      </c>
      <c r="N934">
        <v>4</v>
      </c>
      <c r="O934">
        <v>2</v>
      </c>
      <c r="P934">
        <v>48</v>
      </c>
      <c r="Q934">
        <v>28</v>
      </c>
      <c r="R934">
        <v>28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28</v>
      </c>
      <c r="Z934">
        <v>9</v>
      </c>
      <c r="AA934">
        <v>0</v>
      </c>
      <c r="AC934">
        <v>85</v>
      </c>
    </row>
    <row r="935" spans="1:29">
      <c r="A935">
        <v>928</v>
      </c>
      <c r="B935">
        <v>1886</v>
      </c>
      <c r="C935" t="s">
        <v>2191</v>
      </c>
      <c r="D935" t="s">
        <v>2162</v>
      </c>
      <c r="E935" t="s">
        <v>211</v>
      </c>
      <c r="F935" t="s">
        <v>2192</v>
      </c>
      <c r="G935" t="str">
        <f>"00577106"</f>
        <v>00577106</v>
      </c>
      <c r="H935">
        <v>72</v>
      </c>
      <c r="I935">
        <v>0</v>
      </c>
      <c r="L935">
        <v>4</v>
      </c>
      <c r="M935">
        <v>4</v>
      </c>
      <c r="N935">
        <v>4</v>
      </c>
      <c r="O935">
        <v>2</v>
      </c>
      <c r="P935">
        <v>82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3</v>
      </c>
      <c r="AA935">
        <v>0</v>
      </c>
      <c r="AC935">
        <v>85</v>
      </c>
    </row>
    <row r="936" spans="1:29">
      <c r="A936">
        <v>929</v>
      </c>
      <c r="B936">
        <v>3834</v>
      </c>
      <c r="C936" t="s">
        <v>2193</v>
      </c>
      <c r="D936" t="s">
        <v>145</v>
      </c>
      <c r="E936" t="s">
        <v>233</v>
      </c>
      <c r="F936" t="s">
        <v>2194</v>
      </c>
      <c r="G936" t="str">
        <f>"00863710"</f>
        <v>00863710</v>
      </c>
      <c r="H936">
        <v>72</v>
      </c>
      <c r="I936">
        <v>10</v>
      </c>
      <c r="M936">
        <v>0</v>
      </c>
      <c r="N936">
        <v>0</v>
      </c>
      <c r="O936">
        <v>0</v>
      </c>
      <c r="P936">
        <v>82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3</v>
      </c>
      <c r="AA936">
        <v>0</v>
      </c>
      <c r="AC936">
        <v>85</v>
      </c>
    </row>
    <row r="937" spans="1:29">
      <c r="A937">
        <v>930</v>
      </c>
      <c r="B937">
        <v>4073</v>
      </c>
      <c r="C937" t="s">
        <v>2189</v>
      </c>
      <c r="D937" t="s">
        <v>811</v>
      </c>
      <c r="E937" t="s">
        <v>15</v>
      </c>
      <c r="F937" t="s">
        <v>2190</v>
      </c>
      <c r="G937" t="str">
        <f>"00709810"</f>
        <v>00709810</v>
      </c>
      <c r="H937">
        <v>72</v>
      </c>
      <c r="I937">
        <v>10</v>
      </c>
      <c r="M937">
        <v>0</v>
      </c>
      <c r="N937">
        <v>0</v>
      </c>
      <c r="O937">
        <v>0</v>
      </c>
      <c r="P937">
        <v>82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3</v>
      </c>
      <c r="AA937">
        <v>0</v>
      </c>
      <c r="AC937">
        <v>85</v>
      </c>
    </row>
    <row r="938" spans="1:29">
      <c r="A938">
        <v>931</v>
      </c>
      <c r="B938">
        <v>163</v>
      </c>
      <c r="C938" t="s">
        <v>2195</v>
      </c>
      <c r="D938" t="s">
        <v>27</v>
      </c>
      <c r="E938" t="s">
        <v>436</v>
      </c>
      <c r="F938" t="s">
        <v>2196</v>
      </c>
      <c r="G938" t="str">
        <f>"00479950"</f>
        <v>00479950</v>
      </c>
      <c r="H938">
        <v>36</v>
      </c>
      <c r="I938">
        <v>0</v>
      </c>
      <c r="L938">
        <v>4</v>
      </c>
      <c r="M938">
        <v>4</v>
      </c>
      <c r="N938">
        <v>4</v>
      </c>
      <c r="O938">
        <v>0</v>
      </c>
      <c r="P938">
        <v>44</v>
      </c>
      <c r="Q938">
        <v>41</v>
      </c>
      <c r="R938">
        <v>41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41</v>
      </c>
      <c r="Z938">
        <v>0</v>
      </c>
      <c r="AA938">
        <v>0</v>
      </c>
      <c r="AC938">
        <v>85</v>
      </c>
    </row>
    <row r="939" spans="1:29">
      <c r="A939">
        <v>932</v>
      </c>
      <c r="B939">
        <v>949</v>
      </c>
      <c r="C939" t="s">
        <v>2197</v>
      </c>
      <c r="D939" t="s">
        <v>2198</v>
      </c>
      <c r="E939" t="s">
        <v>533</v>
      </c>
      <c r="F939" t="s">
        <v>2199</v>
      </c>
      <c r="G939" t="str">
        <f>"00510062"</f>
        <v>00510062</v>
      </c>
      <c r="H939">
        <v>36</v>
      </c>
      <c r="I939">
        <v>0</v>
      </c>
      <c r="M939">
        <v>0</v>
      </c>
      <c r="N939">
        <v>4</v>
      </c>
      <c r="O939">
        <v>0</v>
      </c>
      <c r="P939">
        <v>40</v>
      </c>
      <c r="Q939">
        <v>45</v>
      </c>
      <c r="R939">
        <v>45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45</v>
      </c>
      <c r="Z939">
        <v>0</v>
      </c>
      <c r="AA939">
        <v>0</v>
      </c>
      <c r="AC939">
        <v>85</v>
      </c>
    </row>
    <row r="940" spans="1:29">
      <c r="A940">
        <v>933</v>
      </c>
      <c r="B940">
        <v>315</v>
      </c>
      <c r="C940" t="s">
        <v>2200</v>
      </c>
      <c r="D940" t="s">
        <v>98</v>
      </c>
      <c r="E940" t="s">
        <v>18</v>
      </c>
      <c r="F940" t="s">
        <v>2201</v>
      </c>
      <c r="G940" t="str">
        <f>"00530222"</f>
        <v>00530222</v>
      </c>
      <c r="H940">
        <v>24</v>
      </c>
      <c r="I940">
        <v>0</v>
      </c>
      <c r="M940">
        <v>0</v>
      </c>
      <c r="N940">
        <v>4</v>
      </c>
      <c r="O940">
        <v>2</v>
      </c>
      <c r="P940">
        <v>30</v>
      </c>
      <c r="Q940">
        <v>55</v>
      </c>
      <c r="R940">
        <v>55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55</v>
      </c>
      <c r="Z940">
        <v>0</v>
      </c>
      <c r="AA940">
        <v>0</v>
      </c>
      <c r="AC940">
        <v>85</v>
      </c>
    </row>
    <row r="941" spans="1:29">
      <c r="A941">
        <v>934</v>
      </c>
      <c r="B941">
        <v>3821</v>
      </c>
      <c r="C941" t="s">
        <v>2202</v>
      </c>
      <c r="D941" t="s">
        <v>465</v>
      </c>
      <c r="E941" t="s">
        <v>436</v>
      </c>
      <c r="F941" t="s">
        <v>2203</v>
      </c>
      <c r="G941" t="str">
        <f>"200712002985"</f>
        <v>200712002985</v>
      </c>
      <c r="H941">
        <v>28.8</v>
      </c>
      <c r="I941">
        <v>10</v>
      </c>
      <c r="L941">
        <v>4</v>
      </c>
      <c r="M941">
        <v>4</v>
      </c>
      <c r="N941">
        <v>4</v>
      </c>
      <c r="O941">
        <v>2</v>
      </c>
      <c r="P941">
        <v>48.8</v>
      </c>
      <c r="Q941">
        <v>33</v>
      </c>
      <c r="R941">
        <v>33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33</v>
      </c>
      <c r="Z941">
        <v>3</v>
      </c>
      <c r="AA941">
        <v>0</v>
      </c>
      <c r="AC941">
        <v>84.8</v>
      </c>
    </row>
    <row r="942" spans="1:29">
      <c r="A942">
        <v>935</v>
      </c>
      <c r="B942">
        <v>1327</v>
      </c>
      <c r="C942" t="s">
        <v>2204</v>
      </c>
      <c r="D942" t="s">
        <v>2205</v>
      </c>
      <c r="E942" t="s">
        <v>967</v>
      </c>
      <c r="F942" t="s">
        <v>2206</v>
      </c>
      <c r="G942" t="str">
        <f>"00853167"</f>
        <v>00853167</v>
      </c>
      <c r="H942">
        <v>64.8</v>
      </c>
      <c r="I942">
        <v>10</v>
      </c>
      <c r="L942">
        <v>4</v>
      </c>
      <c r="M942">
        <v>4</v>
      </c>
      <c r="N942">
        <v>4</v>
      </c>
      <c r="O942">
        <v>2</v>
      </c>
      <c r="P942">
        <v>84.8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C942">
        <v>84.8</v>
      </c>
    </row>
    <row r="943" spans="1:29">
      <c r="A943">
        <v>936</v>
      </c>
      <c r="B943">
        <v>1022</v>
      </c>
      <c r="C943" t="s">
        <v>826</v>
      </c>
      <c r="D943" t="s">
        <v>2207</v>
      </c>
      <c r="E943" t="s">
        <v>79</v>
      </c>
      <c r="F943" t="s">
        <v>2208</v>
      </c>
      <c r="G943" t="str">
        <f>"00506124"</f>
        <v>00506124</v>
      </c>
      <c r="H943">
        <v>64.8</v>
      </c>
      <c r="I943">
        <v>0</v>
      </c>
      <c r="J943">
        <v>8</v>
      </c>
      <c r="M943">
        <v>8</v>
      </c>
      <c r="N943">
        <v>4</v>
      </c>
      <c r="O943">
        <v>2</v>
      </c>
      <c r="P943">
        <v>78.8</v>
      </c>
      <c r="Q943">
        <v>6</v>
      </c>
      <c r="R943">
        <v>6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6</v>
      </c>
      <c r="Z943">
        <v>0</v>
      </c>
      <c r="AA943">
        <v>0</v>
      </c>
      <c r="AC943">
        <v>84.8</v>
      </c>
    </row>
    <row r="944" spans="1:29">
      <c r="A944">
        <v>937</v>
      </c>
      <c r="B944">
        <v>3</v>
      </c>
      <c r="C944" t="s">
        <v>2209</v>
      </c>
      <c r="D944" t="s">
        <v>164</v>
      </c>
      <c r="E944" t="s">
        <v>156</v>
      </c>
      <c r="F944" t="s">
        <v>2210</v>
      </c>
      <c r="G944" t="str">
        <f>"00267117"</f>
        <v>00267117</v>
      </c>
      <c r="H944">
        <v>36.72</v>
      </c>
      <c r="I944">
        <v>10</v>
      </c>
      <c r="L944">
        <v>4</v>
      </c>
      <c r="M944">
        <v>4</v>
      </c>
      <c r="N944">
        <v>4</v>
      </c>
      <c r="O944">
        <v>2</v>
      </c>
      <c r="P944">
        <v>56.72</v>
      </c>
      <c r="Q944">
        <v>28</v>
      </c>
      <c r="R944">
        <v>28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28</v>
      </c>
      <c r="Z944">
        <v>0</v>
      </c>
      <c r="AA944">
        <v>0</v>
      </c>
      <c r="AB944" t="s">
        <v>128</v>
      </c>
      <c r="AC944">
        <v>84.72</v>
      </c>
    </row>
    <row r="945" spans="1:29">
      <c r="A945">
        <v>938</v>
      </c>
      <c r="B945">
        <v>897</v>
      </c>
      <c r="C945" t="s">
        <v>2211</v>
      </c>
      <c r="D945" t="s">
        <v>20</v>
      </c>
      <c r="E945" t="s">
        <v>36</v>
      </c>
      <c r="F945" t="s">
        <v>2212</v>
      </c>
      <c r="G945" t="str">
        <f>"00504097"</f>
        <v>00504097</v>
      </c>
      <c r="H945">
        <v>21.6</v>
      </c>
      <c r="I945">
        <v>10</v>
      </c>
      <c r="J945">
        <v>8</v>
      </c>
      <c r="M945">
        <v>8</v>
      </c>
      <c r="N945">
        <v>4</v>
      </c>
      <c r="O945">
        <v>2</v>
      </c>
      <c r="P945">
        <v>45.6</v>
      </c>
      <c r="Q945">
        <v>39</v>
      </c>
      <c r="R945">
        <v>39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39</v>
      </c>
      <c r="Z945">
        <v>0</v>
      </c>
      <c r="AA945">
        <v>0</v>
      </c>
      <c r="AC945">
        <v>84.6</v>
      </c>
    </row>
    <row r="946" spans="1:29">
      <c r="A946">
        <v>939</v>
      </c>
      <c r="B946">
        <v>4361</v>
      </c>
      <c r="C946" t="s">
        <v>2213</v>
      </c>
      <c r="D946" t="s">
        <v>266</v>
      </c>
      <c r="E946" t="s">
        <v>36</v>
      </c>
      <c r="F946" t="s">
        <v>2214</v>
      </c>
      <c r="G946" t="str">
        <f>"00512068"</f>
        <v>00512068</v>
      </c>
      <c r="H946">
        <v>50.4</v>
      </c>
      <c r="I946">
        <v>10</v>
      </c>
      <c r="J946">
        <v>8</v>
      </c>
      <c r="K946">
        <v>6</v>
      </c>
      <c r="M946">
        <v>14</v>
      </c>
      <c r="N946">
        <v>4</v>
      </c>
      <c r="O946">
        <v>0</v>
      </c>
      <c r="P946">
        <v>78.400000000000006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6</v>
      </c>
      <c r="AA946">
        <v>0</v>
      </c>
      <c r="AC946">
        <v>84.4</v>
      </c>
    </row>
    <row r="947" spans="1:29">
      <c r="A947">
        <v>940</v>
      </c>
      <c r="B947">
        <v>2791</v>
      </c>
      <c r="C947" t="s">
        <v>2215</v>
      </c>
      <c r="D947" t="s">
        <v>52</v>
      </c>
      <c r="E947" t="s">
        <v>168</v>
      </c>
      <c r="F947" t="s">
        <v>2216</v>
      </c>
      <c r="G947" t="str">
        <f>"00533878"</f>
        <v>00533878</v>
      </c>
      <c r="H947">
        <v>34.4</v>
      </c>
      <c r="I947">
        <v>10</v>
      </c>
      <c r="J947">
        <v>8</v>
      </c>
      <c r="M947">
        <v>8</v>
      </c>
      <c r="N947">
        <v>4</v>
      </c>
      <c r="O947">
        <v>2</v>
      </c>
      <c r="P947">
        <v>58.4</v>
      </c>
      <c r="Q947">
        <v>20</v>
      </c>
      <c r="R947">
        <v>20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20</v>
      </c>
      <c r="Z947">
        <v>6</v>
      </c>
      <c r="AA947">
        <v>0</v>
      </c>
      <c r="AC947">
        <v>84.4</v>
      </c>
    </row>
    <row r="948" spans="1:29">
      <c r="A948">
        <v>941</v>
      </c>
      <c r="B948">
        <v>1170</v>
      </c>
      <c r="C948" t="s">
        <v>1785</v>
      </c>
      <c r="D948" t="s">
        <v>27</v>
      </c>
      <c r="E948" t="s">
        <v>621</v>
      </c>
      <c r="F948" t="s">
        <v>2217</v>
      </c>
      <c r="G948" t="str">
        <f>"00527260"</f>
        <v>00527260</v>
      </c>
      <c r="H948">
        <v>50.4</v>
      </c>
      <c r="I948">
        <v>0</v>
      </c>
      <c r="M948">
        <v>0</v>
      </c>
      <c r="N948">
        <v>4</v>
      </c>
      <c r="O948">
        <v>0</v>
      </c>
      <c r="P948">
        <v>54.4</v>
      </c>
      <c r="Q948">
        <v>30</v>
      </c>
      <c r="R948">
        <v>30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30</v>
      </c>
      <c r="Z948">
        <v>0</v>
      </c>
      <c r="AA948">
        <v>0</v>
      </c>
      <c r="AC948">
        <v>84.4</v>
      </c>
    </row>
    <row r="949" spans="1:29">
      <c r="A949">
        <v>942</v>
      </c>
      <c r="B949">
        <v>2423</v>
      </c>
      <c r="C949" t="s">
        <v>2218</v>
      </c>
      <c r="D949" t="s">
        <v>1314</v>
      </c>
      <c r="E949" t="s">
        <v>2219</v>
      </c>
      <c r="F949" t="s">
        <v>2220</v>
      </c>
      <c r="G949" t="str">
        <f>"00533030"</f>
        <v>00533030</v>
      </c>
      <c r="H949">
        <v>38.4</v>
      </c>
      <c r="I949">
        <v>0</v>
      </c>
      <c r="J949">
        <v>8</v>
      </c>
      <c r="M949">
        <v>8</v>
      </c>
      <c r="N949">
        <v>4</v>
      </c>
      <c r="O949">
        <v>2</v>
      </c>
      <c r="P949">
        <v>52.4</v>
      </c>
      <c r="Q949">
        <v>32</v>
      </c>
      <c r="R949">
        <v>32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32</v>
      </c>
      <c r="Z949">
        <v>0</v>
      </c>
      <c r="AA949">
        <v>0</v>
      </c>
      <c r="AC949">
        <v>84.4</v>
      </c>
    </row>
    <row r="950" spans="1:29">
      <c r="A950">
        <v>943</v>
      </c>
      <c r="B950">
        <v>1573</v>
      </c>
      <c r="C950" t="s">
        <v>2221</v>
      </c>
      <c r="D950" t="s">
        <v>1278</v>
      </c>
      <c r="E950" t="s">
        <v>66</v>
      </c>
      <c r="F950" t="s">
        <v>2222</v>
      </c>
      <c r="G950" t="str">
        <f>"00531087"</f>
        <v>00531087</v>
      </c>
      <c r="H950">
        <v>16.32</v>
      </c>
      <c r="I950">
        <v>0</v>
      </c>
      <c r="M950">
        <v>0</v>
      </c>
      <c r="N950">
        <v>4</v>
      </c>
      <c r="O950">
        <v>0</v>
      </c>
      <c r="P950">
        <v>20.32</v>
      </c>
      <c r="Q950">
        <v>55</v>
      </c>
      <c r="R950">
        <v>55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55</v>
      </c>
      <c r="Z950">
        <v>9</v>
      </c>
      <c r="AA950">
        <v>0</v>
      </c>
      <c r="AC950">
        <v>84.32</v>
      </c>
    </row>
    <row r="951" spans="1:29">
      <c r="A951">
        <v>944</v>
      </c>
      <c r="B951">
        <v>4307</v>
      </c>
      <c r="C951" t="s">
        <v>2223</v>
      </c>
      <c r="D951" t="s">
        <v>86</v>
      </c>
      <c r="E951" t="s">
        <v>36</v>
      </c>
      <c r="F951" t="s">
        <v>2224</v>
      </c>
      <c r="G951" t="str">
        <f>"00441947"</f>
        <v>00441947</v>
      </c>
      <c r="H951">
        <v>34.28</v>
      </c>
      <c r="I951">
        <v>10</v>
      </c>
      <c r="J951">
        <v>8</v>
      </c>
      <c r="M951">
        <v>8</v>
      </c>
      <c r="N951">
        <v>4</v>
      </c>
      <c r="O951">
        <v>2</v>
      </c>
      <c r="P951">
        <v>58.28</v>
      </c>
      <c r="Q951">
        <v>26</v>
      </c>
      <c r="R951">
        <v>26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26</v>
      </c>
      <c r="Z951">
        <v>0</v>
      </c>
      <c r="AA951">
        <v>0</v>
      </c>
      <c r="AC951">
        <v>84.28</v>
      </c>
    </row>
    <row r="952" spans="1:29">
      <c r="A952">
        <v>945</v>
      </c>
      <c r="B952">
        <v>867</v>
      </c>
      <c r="C952" t="s">
        <v>2225</v>
      </c>
      <c r="D952" t="s">
        <v>282</v>
      </c>
      <c r="E952" t="s">
        <v>122</v>
      </c>
      <c r="F952" t="s">
        <v>2226</v>
      </c>
      <c r="G952" t="str">
        <f>"00220031"</f>
        <v>00220031</v>
      </c>
      <c r="H952">
        <v>43.2</v>
      </c>
      <c r="I952">
        <v>0</v>
      </c>
      <c r="M952">
        <v>0</v>
      </c>
      <c r="N952">
        <v>0</v>
      </c>
      <c r="O952">
        <v>0</v>
      </c>
      <c r="P952">
        <v>43.2</v>
      </c>
      <c r="Q952">
        <v>35</v>
      </c>
      <c r="R952">
        <v>35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35</v>
      </c>
      <c r="Z952">
        <v>6</v>
      </c>
      <c r="AA952">
        <v>0</v>
      </c>
      <c r="AC952">
        <v>84.2</v>
      </c>
    </row>
    <row r="953" spans="1:29">
      <c r="A953">
        <v>946</v>
      </c>
      <c r="B953">
        <v>2180</v>
      </c>
      <c r="C953" t="s">
        <v>2227</v>
      </c>
      <c r="D953" t="s">
        <v>95</v>
      </c>
      <c r="E953" t="s">
        <v>15</v>
      </c>
      <c r="F953" t="s">
        <v>2228</v>
      </c>
      <c r="G953" t="str">
        <f>"00531045"</f>
        <v>00531045</v>
      </c>
      <c r="H953">
        <v>43.2</v>
      </c>
      <c r="I953">
        <v>0</v>
      </c>
      <c r="L953">
        <v>4</v>
      </c>
      <c r="M953">
        <v>4</v>
      </c>
      <c r="N953">
        <v>4</v>
      </c>
      <c r="O953">
        <v>2</v>
      </c>
      <c r="P953">
        <v>53.2</v>
      </c>
      <c r="Q953">
        <v>28</v>
      </c>
      <c r="R953">
        <v>28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28</v>
      </c>
      <c r="Z953">
        <v>3</v>
      </c>
      <c r="AA953">
        <v>0</v>
      </c>
      <c r="AC953">
        <v>84.2</v>
      </c>
    </row>
    <row r="954" spans="1:29">
      <c r="A954">
        <v>947</v>
      </c>
      <c r="B954">
        <v>1787</v>
      </c>
      <c r="C954" t="s">
        <v>947</v>
      </c>
      <c r="D954" t="s">
        <v>2229</v>
      </c>
      <c r="E954" t="s">
        <v>2230</v>
      </c>
      <c r="F954" t="s">
        <v>2231</v>
      </c>
      <c r="G954" t="str">
        <f>"00185393"</f>
        <v>00185393</v>
      </c>
      <c r="H954">
        <v>7.2</v>
      </c>
      <c r="I954">
        <v>10</v>
      </c>
      <c r="M954">
        <v>0</v>
      </c>
      <c r="N954">
        <v>4</v>
      </c>
      <c r="O954">
        <v>2</v>
      </c>
      <c r="P954">
        <v>23.2</v>
      </c>
      <c r="Q954">
        <v>61</v>
      </c>
      <c r="R954">
        <v>61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61</v>
      </c>
      <c r="Z954">
        <v>0</v>
      </c>
      <c r="AA954">
        <v>0</v>
      </c>
      <c r="AC954">
        <v>84.2</v>
      </c>
    </row>
    <row r="955" spans="1:29">
      <c r="A955">
        <v>948</v>
      </c>
      <c r="B955">
        <v>2781</v>
      </c>
      <c r="C955" t="s">
        <v>2232</v>
      </c>
      <c r="D955" t="s">
        <v>336</v>
      </c>
      <c r="E955" t="s">
        <v>482</v>
      </c>
      <c r="F955" t="s">
        <v>2233</v>
      </c>
      <c r="G955" t="str">
        <f>"00530898"</f>
        <v>00530898</v>
      </c>
      <c r="H955">
        <v>10.199999999999999</v>
      </c>
      <c r="I955">
        <v>0</v>
      </c>
      <c r="M955">
        <v>0</v>
      </c>
      <c r="N955">
        <v>4</v>
      </c>
      <c r="O955">
        <v>0</v>
      </c>
      <c r="P955">
        <v>14.2</v>
      </c>
      <c r="Q955">
        <v>70</v>
      </c>
      <c r="R955">
        <v>70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70</v>
      </c>
      <c r="Z955">
        <v>0</v>
      </c>
      <c r="AA955">
        <v>0</v>
      </c>
      <c r="AC955">
        <v>84.2</v>
      </c>
    </row>
    <row r="956" spans="1:29">
      <c r="A956">
        <v>949</v>
      </c>
      <c r="B956">
        <v>3661</v>
      </c>
      <c r="C956" t="s">
        <v>2234</v>
      </c>
      <c r="D956" t="s">
        <v>179</v>
      </c>
      <c r="E956" t="s">
        <v>18</v>
      </c>
      <c r="F956" t="s">
        <v>2235</v>
      </c>
      <c r="G956" t="str">
        <f>"00529887"</f>
        <v>00529887</v>
      </c>
      <c r="H956">
        <v>31.12</v>
      </c>
      <c r="I956">
        <v>0</v>
      </c>
      <c r="M956">
        <v>0</v>
      </c>
      <c r="N956">
        <v>0</v>
      </c>
      <c r="O956">
        <v>0</v>
      </c>
      <c r="P956">
        <v>31.12</v>
      </c>
      <c r="Q956">
        <v>53</v>
      </c>
      <c r="R956">
        <v>53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53</v>
      </c>
      <c r="Z956">
        <v>0</v>
      </c>
      <c r="AA956">
        <v>0</v>
      </c>
      <c r="AC956">
        <v>84.12</v>
      </c>
    </row>
    <row r="957" spans="1:29">
      <c r="A957">
        <v>950</v>
      </c>
      <c r="B957">
        <v>4479</v>
      </c>
      <c r="C957" t="s">
        <v>2236</v>
      </c>
      <c r="D957" t="s">
        <v>187</v>
      </c>
      <c r="E957" t="s">
        <v>134</v>
      </c>
      <c r="F957" t="s">
        <v>2237</v>
      </c>
      <c r="G957" t="str">
        <f>"201511006937"</f>
        <v>201511006937</v>
      </c>
      <c r="H957">
        <v>21.08</v>
      </c>
      <c r="I957">
        <v>0</v>
      </c>
      <c r="M957">
        <v>0</v>
      </c>
      <c r="N957">
        <v>4</v>
      </c>
      <c r="O957">
        <v>2</v>
      </c>
      <c r="P957">
        <v>27.08</v>
      </c>
      <c r="Q957">
        <v>57</v>
      </c>
      <c r="R957">
        <v>57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57</v>
      </c>
      <c r="Z957">
        <v>0</v>
      </c>
      <c r="AA957">
        <v>0</v>
      </c>
      <c r="AC957">
        <v>84.08</v>
      </c>
    </row>
    <row r="958" spans="1:29">
      <c r="A958">
        <v>951</v>
      </c>
      <c r="B958">
        <v>779</v>
      </c>
      <c r="C958" t="s">
        <v>2238</v>
      </c>
      <c r="D958" t="s">
        <v>2239</v>
      </c>
      <c r="E958" t="s">
        <v>115</v>
      </c>
      <c r="F958" t="s">
        <v>2240</v>
      </c>
      <c r="G958" t="str">
        <f>"201605000176"</f>
        <v>201605000176</v>
      </c>
      <c r="H958">
        <v>36</v>
      </c>
      <c r="I958">
        <v>0</v>
      </c>
      <c r="M958">
        <v>0</v>
      </c>
      <c r="N958">
        <v>4</v>
      </c>
      <c r="O958">
        <v>2</v>
      </c>
      <c r="P958">
        <v>42</v>
      </c>
      <c r="Q958">
        <v>33</v>
      </c>
      <c r="R958">
        <v>33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33</v>
      </c>
      <c r="Z958">
        <v>9</v>
      </c>
      <c r="AA958">
        <v>0</v>
      </c>
      <c r="AC958">
        <v>84</v>
      </c>
    </row>
    <row r="959" spans="1:29">
      <c r="A959">
        <v>952</v>
      </c>
      <c r="B959">
        <v>1812</v>
      </c>
      <c r="C959" t="s">
        <v>2241</v>
      </c>
      <c r="D959" t="s">
        <v>69</v>
      </c>
      <c r="E959" t="s">
        <v>2242</v>
      </c>
      <c r="F959" t="s">
        <v>2243</v>
      </c>
      <c r="G959" t="str">
        <f>"00508526"</f>
        <v>00508526</v>
      </c>
      <c r="H959">
        <v>36</v>
      </c>
      <c r="I959">
        <v>0</v>
      </c>
      <c r="M959">
        <v>0</v>
      </c>
      <c r="N959">
        <v>4</v>
      </c>
      <c r="O959">
        <v>0</v>
      </c>
      <c r="P959">
        <v>40</v>
      </c>
      <c r="Q959">
        <v>41</v>
      </c>
      <c r="R959">
        <v>41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41</v>
      </c>
      <c r="Z959">
        <v>3</v>
      </c>
      <c r="AA959">
        <v>0</v>
      </c>
      <c r="AC959">
        <v>84</v>
      </c>
    </row>
    <row r="960" spans="1:29">
      <c r="A960">
        <v>953</v>
      </c>
      <c r="B960">
        <v>1676</v>
      </c>
      <c r="C960" t="s">
        <v>2244</v>
      </c>
      <c r="D960" t="s">
        <v>167</v>
      </c>
      <c r="E960" t="s">
        <v>15</v>
      </c>
      <c r="F960" t="s">
        <v>2245</v>
      </c>
      <c r="G960" t="str">
        <f>"00162367"</f>
        <v>00162367</v>
      </c>
      <c r="H960">
        <v>28</v>
      </c>
      <c r="I960">
        <v>10</v>
      </c>
      <c r="M960">
        <v>0</v>
      </c>
      <c r="N960">
        <v>4</v>
      </c>
      <c r="O960">
        <v>0</v>
      </c>
      <c r="P960">
        <v>42</v>
      </c>
      <c r="Q960">
        <v>42</v>
      </c>
      <c r="R960">
        <v>42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42</v>
      </c>
      <c r="Z960">
        <v>0</v>
      </c>
      <c r="AA960">
        <v>0</v>
      </c>
      <c r="AC960">
        <v>84</v>
      </c>
    </row>
    <row r="961" spans="1:29">
      <c r="A961">
        <v>954</v>
      </c>
      <c r="B961">
        <v>3464</v>
      </c>
      <c r="C961" t="s">
        <v>2246</v>
      </c>
      <c r="D961" t="s">
        <v>27</v>
      </c>
      <c r="E961" t="s">
        <v>134</v>
      </c>
      <c r="F961" t="s">
        <v>2247</v>
      </c>
      <c r="G961" t="str">
        <f>"00163058"</f>
        <v>00163058</v>
      </c>
      <c r="H961">
        <v>24</v>
      </c>
      <c r="I961">
        <v>10</v>
      </c>
      <c r="M961">
        <v>0</v>
      </c>
      <c r="N961">
        <v>4</v>
      </c>
      <c r="O961">
        <v>2</v>
      </c>
      <c r="P961">
        <v>40</v>
      </c>
      <c r="Q961">
        <v>44</v>
      </c>
      <c r="R961">
        <v>44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44</v>
      </c>
      <c r="Z961">
        <v>0</v>
      </c>
      <c r="AA961">
        <v>0</v>
      </c>
      <c r="AC961">
        <v>84</v>
      </c>
    </row>
    <row r="962" spans="1:29">
      <c r="A962">
        <v>955</v>
      </c>
      <c r="B962">
        <v>4243</v>
      </c>
      <c r="C962" t="s">
        <v>34</v>
      </c>
      <c r="D962" t="s">
        <v>185</v>
      </c>
      <c r="E962" t="s">
        <v>36</v>
      </c>
      <c r="F962" t="s">
        <v>2248</v>
      </c>
      <c r="G962" t="str">
        <f>"00509480"</f>
        <v>00509480</v>
      </c>
      <c r="H962">
        <v>37.08</v>
      </c>
      <c r="I962">
        <v>0</v>
      </c>
      <c r="M962">
        <v>0</v>
      </c>
      <c r="N962">
        <v>0</v>
      </c>
      <c r="O962">
        <v>2</v>
      </c>
      <c r="P962">
        <v>39.08</v>
      </c>
      <c r="Q962">
        <v>18</v>
      </c>
      <c r="R962">
        <v>18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18</v>
      </c>
      <c r="Z962">
        <v>0</v>
      </c>
      <c r="AA962">
        <v>26.8</v>
      </c>
      <c r="AC962">
        <v>83.88</v>
      </c>
    </row>
    <row r="963" spans="1:29">
      <c r="A963">
        <v>956</v>
      </c>
      <c r="B963">
        <v>1086</v>
      </c>
      <c r="C963" t="s">
        <v>2249</v>
      </c>
      <c r="D963" t="s">
        <v>52</v>
      </c>
      <c r="E963" t="s">
        <v>36</v>
      </c>
      <c r="F963" t="s">
        <v>2250</v>
      </c>
      <c r="G963" t="str">
        <f>"00858167"</f>
        <v>00858167</v>
      </c>
      <c r="H963">
        <v>40</v>
      </c>
      <c r="I963">
        <v>10</v>
      </c>
      <c r="M963">
        <v>0</v>
      </c>
      <c r="N963">
        <v>4</v>
      </c>
      <c r="O963">
        <v>0</v>
      </c>
      <c r="P963">
        <v>54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3</v>
      </c>
      <c r="AA963">
        <v>26.8</v>
      </c>
      <c r="AC963">
        <v>83.8</v>
      </c>
    </row>
    <row r="964" spans="1:29">
      <c r="A964">
        <v>957</v>
      </c>
      <c r="B964">
        <v>840</v>
      </c>
      <c r="C964" t="s">
        <v>2251</v>
      </c>
      <c r="D964" t="s">
        <v>185</v>
      </c>
      <c r="E964" t="s">
        <v>36</v>
      </c>
      <c r="F964" t="s">
        <v>2252</v>
      </c>
      <c r="G964" t="str">
        <f>"00509720"</f>
        <v>00509720</v>
      </c>
      <c r="H964">
        <v>28.8</v>
      </c>
      <c r="I964">
        <v>10</v>
      </c>
      <c r="L964">
        <v>4</v>
      </c>
      <c r="M964">
        <v>4</v>
      </c>
      <c r="N964">
        <v>4</v>
      </c>
      <c r="O964">
        <v>2</v>
      </c>
      <c r="P964">
        <v>48.8</v>
      </c>
      <c r="Q964">
        <v>32</v>
      </c>
      <c r="R964">
        <v>32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32</v>
      </c>
      <c r="Z964">
        <v>3</v>
      </c>
      <c r="AA964">
        <v>0</v>
      </c>
      <c r="AC964">
        <v>83.8</v>
      </c>
    </row>
    <row r="965" spans="1:29">
      <c r="A965">
        <v>958</v>
      </c>
      <c r="B965">
        <v>2476</v>
      </c>
      <c r="C965" t="s">
        <v>539</v>
      </c>
      <c r="D965" t="s">
        <v>216</v>
      </c>
      <c r="E965" t="s">
        <v>15</v>
      </c>
      <c r="F965" t="s">
        <v>2253</v>
      </c>
      <c r="G965" t="str">
        <f>"00526271"</f>
        <v>00526271</v>
      </c>
      <c r="H965">
        <v>15.72</v>
      </c>
      <c r="I965">
        <v>10</v>
      </c>
      <c r="M965">
        <v>0</v>
      </c>
      <c r="N965">
        <v>4</v>
      </c>
      <c r="O965">
        <v>2</v>
      </c>
      <c r="P965">
        <v>31.72</v>
      </c>
      <c r="Q965">
        <v>46</v>
      </c>
      <c r="R965">
        <v>46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46</v>
      </c>
      <c r="Z965">
        <v>6</v>
      </c>
      <c r="AA965">
        <v>0</v>
      </c>
      <c r="AC965">
        <v>83.72</v>
      </c>
    </row>
    <row r="966" spans="1:29">
      <c r="A966">
        <v>959</v>
      </c>
      <c r="B966">
        <v>1066</v>
      </c>
      <c r="C966" t="s">
        <v>2254</v>
      </c>
      <c r="D966" t="s">
        <v>31</v>
      </c>
      <c r="E966" t="s">
        <v>79</v>
      </c>
      <c r="F966" t="s">
        <v>2255</v>
      </c>
      <c r="G966" t="str">
        <f>"00604036"</f>
        <v>00604036</v>
      </c>
      <c r="H966">
        <v>57.6</v>
      </c>
      <c r="I966">
        <v>10</v>
      </c>
      <c r="L966">
        <v>4</v>
      </c>
      <c r="M966">
        <v>4</v>
      </c>
      <c r="N966">
        <v>4</v>
      </c>
      <c r="O966">
        <v>2</v>
      </c>
      <c r="P966">
        <v>77.599999999999994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6</v>
      </c>
      <c r="AA966">
        <v>0</v>
      </c>
      <c r="AC966">
        <v>83.6</v>
      </c>
    </row>
    <row r="967" spans="1:29">
      <c r="A967">
        <v>960</v>
      </c>
      <c r="B967">
        <v>145</v>
      </c>
      <c r="C967" t="s">
        <v>2256</v>
      </c>
      <c r="D967" t="s">
        <v>1187</v>
      </c>
      <c r="E967" t="s">
        <v>79</v>
      </c>
      <c r="F967" t="s">
        <v>2257</v>
      </c>
      <c r="G967" t="str">
        <f>"201406008910"</f>
        <v>201406008910</v>
      </c>
      <c r="H967">
        <v>39.6</v>
      </c>
      <c r="I967">
        <v>10</v>
      </c>
      <c r="L967">
        <v>4</v>
      </c>
      <c r="M967">
        <v>4</v>
      </c>
      <c r="N967">
        <v>4</v>
      </c>
      <c r="O967">
        <v>2</v>
      </c>
      <c r="P967">
        <v>59.6</v>
      </c>
      <c r="Q967">
        <v>18</v>
      </c>
      <c r="R967">
        <v>18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18</v>
      </c>
      <c r="Z967">
        <v>6</v>
      </c>
      <c r="AA967">
        <v>0</v>
      </c>
      <c r="AC967">
        <v>83.6</v>
      </c>
    </row>
    <row r="968" spans="1:29">
      <c r="A968">
        <v>961</v>
      </c>
      <c r="B968">
        <v>669</v>
      </c>
      <c r="C968" t="s">
        <v>2077</v>
      </c>
      <c r="D968" t="s">
        <v>164</v>
      </c>
      <c r="E968" t="s">
        <v>89</v>
      </c>
      <c r="F968" t="s">
        <v>2260</v>
      </c>
      <c r="G968" t="str">
        <f>"00504000"</f>
        <v>00504000</v>
      </c>
      <c r="H968">
        <v>21.6</v>
      </c>
      <c r="I968">
        <v>0</v>
      </c>
      <c r="M968">
        <v>0</v>
      </c>
      <c r="N968">
        <v>4</v>
      </c>
      <c r="O968">
        <v>2</v>
      </c>
      <c r="P968">
        <v>27.6</v>
      </c>
      <c r="Q968">
        <v>56</v>
      </c>
      <c r="R968">
        <v>56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56</v>
      </c>
      <c r="Z968">
        <v>0</v>
      </c>
      <c r="AA968">
        <v>0</v>
      </c>
      <c r="AC968">
        <v>83.6</v>
      </c>
    </row>
    <row r="969" spans="1:29">
      <c r="A969">
        <v>962</v>
      </c>
      <c r="B969">
        <v>594</v>
      </c>
      <c r="C969" t="s">
        <v>2258</v>
      </c>
      <c r="D969" t="s">
        <v>164</v>
      </c>
      <c r="E969" t="s">
        <v>79</v>
      </c>
      <c r="F969" t="s">
        <v>2259</v>
      </c>
      <c r="G969" t="str">
        <f>"00500296"</f>
        <v>00500296</v>
      </c>
      <c r="H969">
        <v>21.6</v>
      </c>
      <c r="I969">
        <v>0</v>
      </c>
      <c r="M969">
        <v>0</v>
      </c>
      <c r="N969">
        <v>4</v>
      </c>
      <c r="O969">
        <v>2</v>
      </c>
      <c r="P969">
        <v>27.6</v>
      </c>
      <c r="Q969">
        <v>56</v>
      </c>
      <c r="R969">
        <v>56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56</v>
      </c>
      <c r="Z969">
        <v>0</v>
      </c>
      <c r="AA969">
        <v>0</v>
      </c>
      <c r="AC969">
        <v>83.6</v>
      </c>
    </row>
    <row r="970" spans="1:29">
      <c r="A970">
        <v>963</v>
      </c>
      <c r="B970">
        <v>2071</v>
      </c>
      <c r="C970" t="s">
        <v>2261</v>
      </c>
      <c r="D970" t="s">
        <v>20</v>
      </c>
      <c r="E970" t="s">
        <v>36</v>
      </c>
      <c r="F970" t="s">
        <v>2262</v>
      </c>
      <c r="G970" t="str">
        <f>"00530063"</f>
        <v>00530063</v>
      </c>
      <c r="H970">
        <v>21.6</v>
      </c>
      <c r="I970">
        <v>0</v>
      </c>
      <c r="M970">
        <v>0</v>
      </c>
      <c r="N970">
        <v>4</v>
      </c>
      <c r="O970">
        <v>0</v>
      </c>
      <c r="P970">
        <v>25.6</v>
      </c>
      <c r="Q970">
        <v>58</v>
      </c>
      <c r="R970">
        <v>58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58</v>
      </c>
      <c r="Z970">
        <v>0</v>
      </c>
      <c r="AA970">
        <v>0</v>
      </c>
      <c r="AC970">
        <v>83.6</v>
      </c>
    </row>
    <row r="971" spans="1:29">
      <c r="A971">
        <v>964</v>
      </c>
      <c r="B971">
        <v>2452</v>
      </c>
      <c r="C971" t="s">
        <v>2263</v>
      </c>
      <c r="D971" t="s">
        <v>952</v>
      </c>
      <c r="E971" t="s">
        <v>647</v>
      </c>
      <c r="F971" t="s">
        <v>2264</v>
      </c>
      <c r="G971" t="str">
        <f>"00442073"</f>
        <v>00442073</v>
      </c>
      <c r="H971">
        <v>29.72</v>
      </c>
      <c r="I971">
        <v>0</v>
      </c>
      <c r="M971">
        <v>0</v>
      </c>
      <c r="N971">
        <v>0</v>
      </c>
      <c r="O971">
        <v>0</v>
      </c>
      <c r="P971">
        <v>29.72</v>
      </c>
      <c r="Q971">
        <v>18</v>
      </c>
      <c r="R971">
        <v>18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18</v>
      </c>
      <c r="Z971">
        <v>3</v>
      </c>
      <c r="AA971">
        <v>32.799999999999997</v>
      </c>
      <c r="AC971">
        <v>83.52</v>
      </c>
    </row>
    <row r="972" spans="1:29">
      <c r="A972">
        <v>965</v>
      </c>
      <c r="B972">
        <v>4404</v>
      </c>
      <c r="C972" t="s">
        <v>2265</v>
      </c>
      <c r="D972" t="s">
        <v>276</v>
      </c>
      <c r="E972" t="s">
        <v>2266</v>
      </c>
      <c r="F972" t="s">
        <v>2267</v>
      </c>
      <c r="G972" t="str">
        <f>"201510003070"</f>
        <v>201510003070</v>
      </c>
      <c r="H972">
        <v>38.4</v>
      </c>
      <c r="I972">
        <v>10</v>
      </c>
      <c r="L972">
        <v>4</v>
      </c>
      <c r="M972">
        <v>4</v>
      </c>
      <c r="N972">
        <v>4</v>
      </c>
      <c r="O972">
        <v>2</v>
      </c>
      <c r="P972">
        <v>58.4</v>
      </c>
      <c r="Q972">
        <v>22</v>
      </c>
      <c r="R972">
        <v>22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22</v>
      </c>
      <c r="Z972">
        <v>3</v>
      </c>
      <c r="AA972">
        <v>0</v>
      </c>
      <c r="AC972">
        <v>83.4</v>
      </c>
    </row>
    <row r="973" spans="1:29">
      <c r="A973">
        <v>966</v>
      </c>
      <c r="B973">
        <v>3496</v>
      </c>
      <c r="C973" t="s">
        <v>762</v>
      </c>
      <c r="D973" t="s">
        <v>52</v>
      </c>
      <c r="E973" t="s">
        <v>66</v>
      </c>
      <c r="F973" t="s">
        <v>2268</v>
      </c>
      <c r="G973" t="str">
        <f>"00518118"</f>
        <v>00518118</v>
      </c>
      <c r="H973">
        <v>14.4</v>
      </c>
      <c r="I973">
        <v>10</v>
      </c>
      <c r="M973">
        <v>0</v>
      </c>
      <c r="N973">
        <v>4</v>
      </c>
      <c r="O973">
        <v>2</v>
      </c>
      <c r="P973">
        <v>30.4</v>
      </c>
      <c r="Q973">
        <v>53</v>
      </c>
      <c r="R973">
        <v>53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53</v>
      </c>
      <c r="Z973">
        <v>0</v>
      </c>
      <c r="AA973">
        <v>0</v>
      </c>
      <c r="AC973">
        <v>83.4</v>
      </c>
    </row>
    <row r="974" spans="1:29">
      <c r="A974">
        <v>967</v>
      </c>
      <c r="B974">
        <v>1134</v>
      </c>
      <c r="C974" t="s">
        <v>2269</v>
      </c>
      <c r="D974" t="s">
        <v>185</v>
      </c>
      <c r="E974" t="s">
        <v>337</v>
      </c>
      <c r="F974" t="s">
        <v>2270</v>
      </c>
      <c r="G974" t="str">
        <f>"00522229"</f>
        <v>00522229</v>
      </c>
      <c r="H974">
        <v>14.4</v>
      </c>
      <c r="I974">
        <v>0</v>
      </c>
      <c r="L974">
        <v>4</v>
      </c>
      <c r="M974">
        <v>4</v>
      </c>
      <c r="N974">
        <v>4</v>
      </c>
      <c r="O974">
        <v>2</v>
      </c>
      <c r="P974">
        <v>24.4</v>
      </c>
      <c r="Q974">
        <v>59</v>
      </c>
      <c r="R974">
        <v>59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59</v>
      </c>
      <c r="Z974">
        <v>0</v>
      </c>
      <c r="AA974">
        <v>0</v>
      </c>
      <c r="AC974">
        <v>83.4</v>
      </c>
    </row>
    <row r="975" spans="1:29">
      <c r="A975">
        <v>968</v>
      </c>
      <c r="B975">
        <v>3691</v>
      </c>
      <c r="C975" t="s">
        <v>2271</v>
      </c>
      <c r="D975" t="s">
        <v>279</v>
      </c>
      <c r="E975" t="s">
        <v>156</v>
      </c>
      <c r="F975" t="s">
        <v>2272</v>
      </c>
      <c r="G975" t="str">
        <f>"00507446"</f>
        <v>00507446</v>
      </c>
      <c r="H975">
        <v>14.4</v>
      </c>
      <c r="I975">
        <v>0</v>
      </c>
      <c r="M975">
        <v>0</v>
      </c>
      <c r="N975">
        <v>4</v>
      </c>
      <c r="O975">
        <v>2</v>
      </c>
      <c r="P975">
        <v>20.399999999999999</v>
      </c>
      <c r="Q975">
        <v>63</v>
      </c>
      <c r="R975">
        <v>63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63</v>
      </c>
      <c r="Z975">
        <v>0</v>
      </c>
      <c r="AA975">
        <v>0</v>
      </c>
      <c r="AC975">
        <v>83.4</v>
      </c>
    </row>
    <row r="976" spans="1:29">
      <c r="A976">
        <v>969</v>
      </c>
      <c r="B976">
        <v>1010</v>
      </c>
      <c r="C976" t="s">
        <v>2273</v>
      </c>
      <c r="D976" t="s">
        <v>1931</v>
      </c>
      <c r="E976" t="s">
        <v>2242</v>
      </c>
      <c r="F976" t="s">
        <v>2274</v>
      </c>
      <c r="G976" t="str">
        <f>"00507839"</f>
        <v>00507839</v>
      </c>
      <c r="H976">
        <v>29.32</v>
      </c>
      <c r="I976">
        <v>0</v>
      </c>
      <c r="M976">
        <v>0</v>
      </c>
      <c r="N976">
        <v>4</v>
      </c>
      <c r="O976">
        <v>0</v>
      </c>
      <c r="P976">
        <v>33.32</v>
      </c>
      <c r="Q976">
        <v>44</v>
      </c>
      <c r="R976">
        <v>44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44</v>
      </c>
      <c r="Z976">
        <v>6</v>
      </c>
      <c r="AA976">
        <v>0</v>
      </c>
      <c r="AC976">
        <v>83.32</v>
      </c>
    </row>
    <row r="977" spans="1:29">
      <c r="A977">
        <v>970</v>
      </c>
      <c r="B977">
        <v>2685</v>
      </c>
      <c r="C977" t="s">
        <v>2275</v>
      </c>
      <c r="D977" t="s">
        <v>2276</v>
      </c>
      <c r="E977" t="s">
        <v>36</v>
      </c>
      <c r="F977" t="s">
        <v>2277</v>
      </c>
      <c r="G977" t="str">
        <f>"00503196"</f>
        <v>00503196</v>
      </c>
      <c r="H977">
        <v>28.32</v>
      </c>
      <c r="I977">
        <v>0</v>
      </c>
      <c r="L977">
        <v>4</v>
      </c>
      <c r="M977">
        <v>4</v>
      </c>
      <c r="N977">
        <v>4</v>
      </c>
      <c r="O977">
        <v>2</v>
      </c>
      <c r="P977">
        <v>38.32</v>
      </c>
      <c r="Q977">
        <v>45</v>
      </c>
      <c r="R977">
        <v>45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45</v>
      </c>
      <c r="Z977">
        <v>0</v>
      </c>
      <c r="AA977">
        <v>0</v>
      </c>
      <c r="AC977">
        <v>83.32</v>
      </c>
    </row>
    <row r="978" spans="1:29">
      <c r="A978">
        <v>971</v>
      </c>
      <c r="B978">
        <v>1999</v>
      </c>
      <c r="C978" t="s">
        <v>1277</v>
      </c>
      <c r="D978" t="s">
        <v>276</v>
      </c>
      <c r="E978" t="s">
        <v>66</v>
      </c>
      <c r="F978" t="s">
        <v>2278</v>
      </c>
      <c r="G978" t="str">
        <f>"00532104"</f>
        <v>00532104</v>
      </c>
      <c r="H978">
        <v>35.28</v>
      </c>
      <c r="I978">
        <v>0</v>
      </c>
      <c r="L978">
        <v>4</v>
      </c>
      <c r="M978">
        <v>4</v>
      </c>
      <c r="N978">
        <v>0</v>
      </c>
      <c r="O978">
        <v>0</v>
      </c>
      <c r="P978">
        <v>39.28</v>
      </c>
      <c r="Q978">
        <v>38</v>
      </c>
      <c r="R978">
        <v>38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38</v>
      </c>
      <c r="Z978">
        <v>6</v>
      </c>
      <c r="AA978">
        <v>0</v>
      </c>
      <c r="AC978">
        <v>83.28</v>
      </c>
    </row>
    <row r="979" spans="1:29">
      <c r="A979">
        <v>972</v>
      </c>
      <c r="B979">
        <v>2291</v>
      </c>
      <c r="C979" t="s">
        <v>1313</v>
      </c>
      <c r="D979" t="s">
        <v>164</v>
      </c>
      <c r="E979" t="s">
        <v>60</v>
      </c>
      <c r="F979" t="s">
        <v>2279</v>
      </c>
      <c r="G979" t="str">
        <f>"201511023230"</f>
        <v>201511023230</v>
      </c>
      <c r="H979">
        <v>24.28</v>
      </c>
      <c r="I979">
        <v>10</v>
      </c>
      <c r="J979">
        <v>8</v>
      </c>
      <c r="M979">
        <v>8</v>
      </c>
      <c r="N979">
        <v>4</v>
      </c>
      <c r="O979">
        <v>2</v>
      </c>
      <c r="P979">
        <v>48.28</v>
      </c>
      <c r="Q979">
        <v>32</v>
      </c>
      <c r="R979">
        <v>32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32</v>
      </c>
      <c r="Z979">
        <v>3</v>
      </c>
      <c r="AA979">
        <v>0</v>
      </c>
      <c r="AC979">
        <v>83.28</v>
      </c>
    </row>
    <row r="980" spans="1:29">
      <c r="A980">
        <v>973</v>
      </c>
      <c r="B980">
        <v>364</v>
      </c>
      <c r="C980" t="s">
        <v>2280</v>
      </c>
      <c r="D980" t="s">
        <v>2281</v>
      </c>
      <c r="E980" t="s">
        <v>15</v>
      </c>
      <c r="F980" t="s">
        <v>2282</v>
      </c>
      <c r="G980" t="str">
        <f>"00528692"</f>
        <v>00528692</v>
      </c>
      <c r="H980">
        <v>30.24</v>
      </c>
      <c r="I980">
        <v>10</v>
      </c>
      <c r="M980">
        <v>0</v>
      </c>
      <c r="N980">
        <v>0</v>
      </c>
      <c r="O980">
        <v>2</v>
      </c>
      <c r="P980">
        <v>42.24</v>
      </c>
      <c r="Q980">
        <v>38</v>
      </c>
      <c r="R980">
        <v>38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38</v>
      </c>
      <c r="Z980">
        <v>3</v>
      </c>
      <c r="AA980">
        <v>0</v>
      </c>
      <c r="AC980">
        <v>83.24</v>
      </c>
    </row>
    <row r="981" spans="1:29">
      <c r="A981">
        <v>974</v>
      </c>
      <c r="B981">
        <v>1237</v>
      </c>
      <c r="C981" t="s">
        <v>2283</v>
      </c>
      <c r="D981" t="s">
        <v>95</v>
      </c>
      <c r="E981" t="s">
        <v>28</v>
      </c>
      <c r="F981" t="s">
        <v>2284</v>
      </c>
      <c r="G981" t="str">
        <f>"00357968"</f>
        <v>00357968</v>
      </c>
      <c r="H981">
        <v>43.2</v>
      </c>
      <c r="I981">
        <v>10</v>
      </c>
      <c r="M981">
        <v>0</v>
      </c>
      <c r="N981">
        <v>4</v>
      </c>
      <c r="O981">
        <v>2</v>
      </c>
      <c r="P981">
        <v>59.2</v>
      </c>
      <c r="Q981">
        <v>8</v>
      </c>
      <c r="R981">
        <v>8</v>
      </c>
      <c r="S981">
        <v>0</v>
      </c>
      <c r="T981">
        <v>0</v>
      </c>
      <c r="U981">
        <v>7</v>
      </c>
      <c r="V981">
        <v>10</v>
      </c>
      <c r="W981">
        <v>0</v>
      </c>
      <c r="X981">
        <v>0</v>
      </c>
      <c r="Y981">
        <v>18</v>
      </c>
      <c r="Z981">
        <v>6</v>
      </c>
      <c r="AA981">
        <v>0</v>
      </c>
      <c r="AC981">
        <v>83.2</v>
      </c>
    </row>
    <row r="982" spans="1:29">
      <c r="A982">
        <v>975</v>
      </c>
      <c r="B982">
        <v>693</v>
      </c>
      <c r="C982" t="s">
        <v>2285</v>
      </c>
      <c r="D982" t="s">
        <v>39</v>
      </c>
      <c r="E982" t="s">
        <v>15</v>
      </c>
      <c r="F982" t="s">
        <v>2286</v>
      </c>
      <c r="G982" t="str">
        <f>"00530073"</f>
        <v>00530073</v>
      </c>
      <c r="H982">
        <v>43.2</v>
      </c>
      <c r="I982">
        <v>10</v>
      </c>
      <c r="L982">
        <v>4</v>
      </c>
      <c r="M982">
        <v>4</v>
      </c>
      <c r="N982">
        <v>4</v>
      </c>
      <c r="O982">
        <v>2</v>
      </c>
      <c r="P982">
        <v>63.2</v>
      </c>
      <c r="Q982">
        <v>17</v>
      </c>
      <c r="R982">
        <v>17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17</v>
      </c>
      <c r="Z982">
        <v>3</v>
      </c>
      <c r="AA982">
        <v>0</v>
      </c>
      <c r="AC982">
        <v>83.2</v>
      </c>
    </row>
    <row r="983" spans="1:29">
      <c r="A983">
        <v>976</v>
      </c>
      <c r="B983">
        <v>86</v>
      </c>
      <c r="C983" t="s">
        <v>2287</v>
      </c>
      <c r="D983" t="s">
        <v>2288</v>
      </c>
      <c r="E983" t="s">
        <v>2289</v>
      </c>
      <c r="F983" t="s">
        <v>2290</v>
      </c>
      <c r="G983" t="str">
        <f>"00785964"</f>
        <v>00785964</v>
      </c>
      <c r="H983">
        <v>43.2</v>
      </c>
      <c r="I983">
        <v>10</v>
      </c>
      <c r="K983">
        <v>6</v>
      </c>
      <c r="M983">
        <v>6</v>
      </c>
      <c r="N983">
        <v>4</v>
      </c>
      <c r="O983">
        <v>2</v>
      </c>
      <c r="P983">
        <v>65.2</v>
      </c>
      <c r="Q983">
        <v>18</v>
      </c>
      <c r="R983">
        <v>18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18</v>
      </c>
      <c r="Z983">
        <v>0</v>
      </c>
      <c r="AA983">
        <v>0</v>
      </c>
      <c r="AC983">
        <v>83.2</v>
      </c>
    </row>
    <row r="984" spans="1:29">
      <c r="A984">
        <v>977</v>
      </c>
      <c r="B984">
        <v>3544</v>
      </c>
      <c r="C984" t="s">
        <v>2291</v>
      </c>
      <c r="D984" t="s">
        <v>39</v>
      </c>
      <c r="E984" t="s">
        <v>89</v>
      </c>
      <c r="F984" t="s">
        <v>2292</v>
      </c>
      <c r="G984" t="str">
        <f>"00173831"</f>
        <v>00173831</v>
      </c>
      <c r="H984">
        <v>72</v>
      </c>
      <c r="I984">
        <v>0</v>
      </c>
      <c r="L984">
        <v>4</v>
      </c>
      <c r="M984">
        <v>4</v>
      </c>
      <c r="N984">
        <v>4</v>
      </c>
      <c r="O984">
        <v>0</v>
      </c>
      <c r="P984">
        <v>80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3</v>
      </c>
      <c r="AA984">
        <v>0</v>
      </c>
      <c r="AC984">
        <v>83</v>
      </c>
    </row>
    <row r="985" spans="1:29">
      <c r="A985">
        <v>978</v>
      </c>
      <c r="B985">
        <v>2053</v>
      </c>
      <c r="C985" t="s">
        <v>2293</v>
      </c>
      <c r="D985" t="s">
        <v>2294</v>
      </c>
      <c r="E985" t="s">
        <v>379</v>
      </c>
      <c r="F985" t="s">
        <v>2295</v>
      </c>
      <c r="G985" t="str">
        <f>"00531776"</f>
        <v>00531776</v>
      </c>
      <c r="H985">
        <v>36</v>
      </c>
      <c r="I985">
        <v>0</v>
      </c>
      <c r="M985">
        <v>0</v>
      </c>
      <c r="N985">
        <v>4</v>
      </c>
      <c r="O985">
        <v>2</v>
      </c>
      <c r="P985">
        <v>42</v>
      </c>
      <c r="Q985">
        <v>25</v>
      </c>
      <c r="R985">
        <v>25</v>
      </c>
      <c r="S985">
        <v>8</v>
      </c>
      <c r="T985">
        <v>16</v>
      </c>
      <c r="U985">
        <v>0</v>
      </c>
      <c r="V985">
        <v>0</v>
      </c>
      <c r="W985">
        <v>0</v>
      </c>
      <c r="X985">
        <v>0</v>
      </c>
      <c r="Y985">
        <v>41</v>
      </c>
      <c r="Z985">
        <v>0</v>
      </c>
      <c r="AA985">
        <v>0</v>
      </c>
      <c r="AC985">
        <v>83</v>
      </c>
    </row>
    <row r="986" spans="1:29">
      <c r="A986">
        <v>979</v>
      </c>
      <c r="B986">
        <v>2771</v>
      </c>
      <c r="C986" t="s">
        <v>2296</v>
      </c>
      <c r="D986" t="s">
        <v>66</v>
      </c>
      <c r="E986" t="s">
        <v>15</v>
      </c>
      <c r="F986" t="s">
        <v>2297</v>
      </c>
      <c r="G986" t="str">
        <f>"00511112"</f>
        <v>00511112</v>
      </c>
      <c r="H986">
        <v>0</v>
      </c>
      <c r="I986">
        <v>0</v>
      </c>
      <c r="M986">
        <v>0</v>
      </c>
      <c r="N986">
        <v>4</v>
      </c>
      <c r="O986">
        <v>0</v>
      </c>
      <c r="P986">
        <v>4</v>
      </c>
      <c r="Q986">
        <v>79</v>
      </c>
      <c r="R986">
        <v>79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79</v>
      </c>
      <c r="Z986">
        <v>0</v>
      </c>
      <c r="AA986">
        <v>0</v>
      </c>
      <c r="AB986" t="s">
        <v>128</v>
      </c>
      <c r="AC986">
        <v>83</v>
      </c>
    </row>
    <row r="987" spans="1:29">
      <c r="A987">
        <v>980</v>
      </c>
      <c r="B987">
        <v>4480</v>
      </c>
      <c r="C987" t="s">
        <v>2298</v>
      </c>
      <c r="D987" t="s">
        <v>159</v>
      </c>
      <c r="E987" t="s">
        <v>28</v>
      </c>
      <c r="F987" t="s">
        <v>2299</v>
      </c>
      <c r="G987" t="str">
        <f>"00510049"</f>
        <v>00510049</v>
      </c>
      <c r="H987">
        <v>36.840000000000003</v>
      </c>
      <c r="I987">
        <v>0</v>
      </c>
      <c r="J987">
        <v>8</v>
      </c>
      <c r="M987">
        <v>8</v>
      </c>
      <c r="N987">
        <v>4</v>
      </c>
      <c r="O987">
        <v>2</v>
      </c>
      <c r="P987">
        <v>50.84</v>
      </c>
      <c r="Q987">
        <v>26</v>
      </c>
      <c r="R987">
        <v>26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26</v>
      </c>
      <c r="Z987">
        <v>6</v>
      </c>
      <c r="AA987">
        <v>0</v>
      </c>
      <c r="AC987">
        <v>82.84</v>
      </c>
    </row>
    <row r="988" spans="1:29">
      <c r="A988">
        <v>981</v>
      </c>
      <c r="B988">
        <v>777</v>
      </c>
      <c r="C988" t="s">
        <v>2300</v>
      </c>
      <c r="D988" t="s">
        <v>27</v>
      </c>
      <c r="E988" t="s">
        <v>564</v>
      </c>
      <c r="F988" t="s">
        <v>2301</v>
      </c>
      <c r="G988" t="str">
        <f>"00693690"</f>
        <v>00693690</v>
      </c>
      <c r="H988">
        <v>39.6</v>
      </c>
      <c r="I988">
        <v>10</v>
      </c>
      <c r="M988">
        <v>0</v>
      </c>
      <c r="N988">
        <v>0</v>
      </c>
      <c r="O988">
        <v>0</v>
      </c>
      <c r="P988">
        <v>49.6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6</v>
      </c>
      <c r="AA988">
        <v>27.2</v>
      </c>
      <c r="AC988">
        <v>82.8</v>
      </c>
    </row>
    <row r="989" spans="1:29">
      <c r="A989">
        <v>982</v>
      </c>
      <c r="B989">
        <v>4568</v>
      </c>
      <c r="C989" t="s">
        <v>2302</v>
      </c>
      <c r="D989" t="s">
        <v>86</v>
      </c>
      <c r="E989" t="s">
        <v>36</v>
      </c>
      <c r="F989" t="s">
        <v>2303</v>
      </c>
      <c r="G989" t="str">
        <f>"201511041804"</f>
        <v>201511041804</v>
      </c>
      <c r="H989">
        <v>38</v>
      </c>
      <c r="I989">
        <v>0</v>
      </c>
      <c r="J989">
        <v>8</v>
      </c>
      <c r="M989">
        <v>8</v>
      </c>
      <c r="N989">
        <v>4</v>
      </c>
      <c r="O989">
        <v>0</v>
      </c>
      <c r="P989">
        <v>50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6</v>
      </c>
      <c r="AA989">
        <v>26.8</v>
      </c>
      <c r="AC989">
        <v>82.8</v>
      </c>
    </row>
    <row r="990" spans="1:29">
      <c r="A990">
        <v>983</v>
      </c>
      <c r="B990">
        <v>4150</v>
      </c>
      <c r="C990" t="s">
        <v>2304</v>
      </c>
      <c r="D990" t="s">
        <v>113</v>
      </c>
      <c r="E990" t="s">
        <v>18</v>
      </c>
      <c r="F990" t="s">
        <v>2305</v>
      </c>
      <c r="G990" t="str">
        <f>"00102384"</f>
        <v>00102384</v>
      </c>
      <c r="H990">
        <v>64.8</v>
      </c>
      <c r="I990">
        <v>0</v>
      </c>
      <c r="J990">
        <v>8</v>
      </c>
      <c r="M990">
        <v>8</v>
      </c>
      <c r="N990">
        <v>4</v>
      </c>
      <c r="O990">
        <v>0</v>
      </c>
      <c r="P990">
        <v>76.8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6</v>
      </c>
      <c r="AA990">
        <v>0</v>
      </c>
      <c r="AC990">
        <v>82.8</v>
      </c>
    </row>
    <row r="991" spans="1:29">
      <c r="A991">
        <v>984</v>
      </c>
      <c r="B991">
        <v>1328</v>
      </c>
      <c r="C991" t="s">
        <v>2306</v>
      </c>
      <c r="D991" t="s">
        <v>108</v>
      </c>
      <c r="E991" t="s">
        <v>337</v>
      </c>
      <c r="F991" t="s">
        <v>2307</v>
      </c>
      <c r="G991" t="str">
        <f>"00007746"</f>
        <v>00007746</v>
      </c>
      <c r="H991">
        <v>64.8</v>
      </c>
      <c r="I991">
        <v>0</v>
      </c>
      <c r="J991">
        <v>8</v>
      </c>
      <c r="L991">
        <v>4</v>
      </c>
      <c r="M991">
        <v>12</v>
      </c>
      <c r="N991">
        <v>4</v>
      </c>
      <c r="O991">
        <v>2</v>
      </c>
      <c r="P991">
        <v>82.8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C991">
        <v>82.8</v>
      </c>
    </row>
    <row r="992" spans="1:29">
      <c r="A992">
        <v>985</v>
      </c>
      <c r="B992">
        <v>2965</v>
      </c>
      <c r="C992" t="s">
        <v>2308</v>
      </c>
      <c r="D992" t="s">
        <v>32</v>
      </c>
      <c r="E992" t="s">
        <v>79</v>
      </c>
      <c r="F992" t="s">
        <v>2309</v>
      </c>
      <c r="G992" t="str">
        <f>"00478544"</f>
        <v>00478544</v>
      </c>
      <c r="H992">
        <v>64.8</v>
      </c>
      <c r="I992">
        <v>0</v>
      </c>
      <c r="M992">
        <v>0</v>
      </c>
      <c r="N992">
        <v>0</v>
      </c>
      <c r="O992">
        <v>0</v>
      </c>
      <c r="P992">
        <v>64.8</v>
      </c>
      <c r="Q992">
        <v>18</v>
      </c>
      <c r="R992">
        <v>18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18</v>
      </c>
      <c r="Z992">
        <v>0</v>
      </c>
      <c r="AA992">
        <v>0</v>
      </c>
      <c r="AC992">
        <v>82.8</v>
      </c>
    </row>
    <row r="993" spans="1:29">
      <c r="A993">
        <v>986</v>
      </c>
      <c r="B993">
        <v>3381</v>
      </c>
      <c r="C993" t="s">
        <v>2310</v>
      </c>
      <c r="D993" t="s">
        <v>2311</v>
      </c>
      <c r="E993" t="s">
        <v>337</v>
      </c>
      <c r="F993" t="s">
        <v>2312</v>
      </c>
      <c r="G993" t="str">
        <f>"201511042726"</f>
        <v>201511042726</v>
      </c>
      <c r="H993">
        <v>26.76</v>
      </c>
      <c r="I993">
        <v>0</v>
      </c>
      <c r="J993">
        <v>8</v>
      </c>
      <c r="M993">
        <v>8</v>
      </c>
      <c r="N993">
        <v>4</v>
      </c>
      <c r="O993">
        <v>0</v>
      </c>
      <c r="P993">
        <v>38.76</v>
      </c>
      <c r="Q993">
        <v>35</v>
      </c>
      <c r="R993">
        <v>35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35</v>
      </c>
      <c r="Z993">
        <v>9</v>
      </c>
      <c r="AA993">
        <v>0</v>
      </c>
      <c r="AC993">
        <v>82.76</v>
      </c>
    </row>
    <row r="994" spans="1:29">
      <c r="A994">
        <v>987</v>
      </c>
      <c r="B994">
        <v>162</v>
      </c>
      <c r="C994" t="s">
        <v>2313</v>
      </c>
      <c r="D994" t="s">
        <v>2314</v>
      </c>
      <c r="E994" t="s">
        <v>165</v>
      </c>
      <c r="F994" t="s">
        <v>2315</v>
      </c>
      <c r="G994" t="str">
        <f>"00508731"</f>
        <v>00508731</v>
      </c>
      <c r="H994">
        <v>36.72</v>
      </c>
      <c r="I994">
        <v>0</v>
      </c>
      <c r="M994">
        <v>0</v>
      </c>
      <c r="N994">
        <v>4</v>
      </c>
      <c r="O994">
        <v>0</v>
      </c>
      <c r="P994">
        <v>40.72</v>
      </c>
      <c r="Q994">
        <v>36</v>
      </c>
      <c r="R994">
        <v>36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36</v>
      </c>
      <c r="Z994">
        <v>6</v>
      </c>
      <c r="AA994">
        <v>0</v>
      </c>
      <c r="AC994">
        <v>82.72</v>
      </c>
    </row>
    <row r="995" spans="1:29">
      <c r="A995">
        <v>988</v>
      </c>
      <c r="B995">
        <v>3295</v>
      </c>
      <c r="C995" t="s">
        <v>2316</v>
      </c>
      <c r="D995" t="s">
        <v>141</v>
      </c>
      <c r="E995" t="s">
        <v>122</v>
      </c>
      <c r="F995" t="s">
        <v>2317</v>
      </c>
      <c r="G995" t="str">
        <f>"00525626"</f>
        <v>00525626</v>
      </c>
      <c r="H995">
        <v>21.6</v>
      </c>
      <c r="I995">
        <v>10</v>
      </c>
      <c r="M995">
        <v>0</v>
      </c>
      <c r="N995">
        <v>4</v>
      </c>
      <c r="O995">
        <v>2</v>
      </c>
      <c r="P995">
        <v>37.6</v>
      </c>
      <c r="Q995">
        <v>39</v>
      </c>
      <c r="R995">
        <v>39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39</v>
      </c>
      <c r="Z995">
        <v>6</v>
      </c>
      <c r="AA995">
        <v>0</v>
      </c>
      <c r="AC995">
        <v>82.6</v>
      </c>
    </row>
    <row r="996" spans="1:29">
      <c r="A996">
        <v>989</v>
      </c>
      <c r="B996">
        <v>332</v>
      </c>
      <c r="C996" t="s">
        <v>2318</v>
      </c>
      <c r="D996" t="s">
        <v>170</v>
      </c>
      <c r="E996" t="s">
        <v>36</v>
      </c>
      <c r="F996" t="s">
        <v>2319</v>
      </c>
      <c r="G996" t="str">
        <f>"00509049"</f>
        <v>00509049</v>
      </c>
      <c r="H996">
        <v>21.6</v>
      </c>
      <c r="I996">
        <v>0</v>
      </c>
      <c r="L996">
        <v>4</v>
      </c>
      <c r="M996">
        <v>4</v>
      </c>
      <c r="N996">
        <v>0</v>
      </c>
      <c r="O996">
        <v>0</v>
      </c>
      <c r="P996">
        <v>25.6</v>
      </c>
      <c r="Q996">
        <v>57</v>
      </c>
      <c r="R996">
        <v>57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57</v>
      </c>
      <c r="Z996">
        <v>0</v>
      </c>
      <c r="AA996">
        <v>0</v>
      </c>
      <c r="AC996">
        <v>82.6</v>
      </c>
    </row>
    <row r="997" spans="1:29">
      <c r="A997">
        <v>990</v>
      </c>
      <c r="B997">
        <v>2594</v>
      </c>
      <c r="C997" t="s">
        <v>2320</v>
      </c>
      <c r="D997" t="s">
        <v>145</v>
      </c>
      <c r="E997" t="s">
        <v>156</v>
      </c>
      <c r="F997" t="s">
        <v>2321</v>
      </c>
      <c r="G997" t="str">
        <f>"00531424"</f>
        <v>00531424</v>
      </c>
      <c r="H997">
        <v>21.44</v>
      </c>
      <c r="I997">
        <v>0</v>
      </c>
      <c r="L997">
        <v>4</v>
      </c>
      <c r="M997">
        <v>4</v>
      </c>
      <c r="N997">
        <v>4</v>
      </c>
      <c r="O997">
        <v>0</v>
      </c>
      <c r="P997">
        <v>29.44</v>
      </c>
      <c r="Q997">
        <v>47</v>
      </c>
      <c r="R997">
        <v>47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47</v>
      </c>
      <c r="Z997">
        <v>6</v>
      </c>
      <c r="AA997">
        <v>0</v>
      </c>
      <c r="AC997">
        <v>82.44</v>
      </c>
    </row>
    <row r="998" spans="1:29">
      <c r="A998">
        <v>991</v>
      </c>
      <c r="B998">
        <v>4234</v>
      </c>
      <c r="C998" t="s">
        <v>2322</v>
      </c>
      <c r="D998" t="s">
        <v>784</v>
      </c>
      <c r="E998" t="s">
        <v>581</v>
      </c>
      <c r="F998" t="s">
        <v>2323</v>
      </c>
      <c r="G998" t="str">
        <f>"00481386"</f>
        <v>00481386</v>
      </c>
      <c r="H998">
        <v>14.4</v>
      </c>
      <c r="I998">
        <v>0</v>
      </c>
      <c r="M998">
        <v>0</v>
      </c>
      <c r="N998">
        <v>4</v>
      </c>
      <c r="O998">
        <v>2</v>
      </c>
      <c r="P998">
        <v>20.399999999999999</v>
      </c>
      <c r="Q998">
        <v>56</v>
      </c>
      <c r="R998">
        <v>56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56</v>
      </c>
      <c r="Z998">
        <v>6</v>
      </c>
      <c r="AA998">
        <v>0</v>
      </c>
      <c r="AC998">
        <v>82.4</v>
      </c>
    </row>
    <row r="999" spans="1:29">
      <c r="A999">
        <v>992</v>
      </c>
      <c r="B999">
        <v>1574</v>
      </c>
      <c r="C999" t="s">
        <v>2324</v>
      </c>
      <c r="D999" t="s">
        <v>465</v>
      </c>
      <c r="E999" t="s">
        <v>460</v>
      </c>
      <c r="F999" t="s">
        <v>2325</v>
      </c>
      <c r="G999" t="str">
        <f>"00504574"</f>
        <v>00504574</v>
      </c>
      <c r="H999">
        <v>34.4</v>
      </c>
      <c r="I999">
        <v>0</v>
      </c>
      <c r="J999">
        <v>8</v>
      </c>
      <c r="M999">
        <v>8</v>
      </c>
      <c r="N999">
        <v>4</v>
      </c>
      <c r="O999">
        <v>2</v>
      </c>
      <c r="P999">
        <v>48.4</v>
      </c>
      <c r="Q999">
        <v>31</v>
      </c>
      <c r="R999">
        <v>31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31</v>
      </c>
      <c r="Z999">
        <v>3</v>
      </c>
      <c r="AA999">
        <v>0</v>
      </c>
      <c r="AC999">
        <v>82.4</v>
      </c>
    </row>
    <row r="1000" spans="1:29">
      <c r="A1000">
        <v>993</v>
      </c>
      <c r="B1000">
        <v>2179</v>
      </c>
      <c r="C1000" t="s">
        <v>2326</v>
      </c>
      <c r="D1000" t="s">
        <v>164</v>
      </c>
      <c r="E1000" t="s">
        <v>796</v>
      </c>
      <c r="F1000" t="s">
        <v>2327</v>
      </c>
      <c r="G1000" t="str">
        <f>"00530750"</f>
        <v>00530750</v>
      </c>
      <c r="H1000">
        <v>50.4</v>
      </c>
      <c r="I1000">
        <v>10</v>
      </c>
      <c r="K1000">
        <v>6</v>
      </c>
      <c r="M1000">
        <v>6</v>
      </c>
      <c r="N1000">
        <v>4</v>
      </c>
      <c r="O1000">
        <v>2</v>
      </c>
      <c r="P1000">
        <v>72.400000000000006</v>
      </c>
      <c r="Q1000">
        <v>10</v>
      </c>
      <c r="R1000">
        <v>10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10</v>
      </c>
      <c r="Z1000">
        <v>0</v>
      </c>
      <c r="AA1000">
        <v>0</v>
      </c>
      <c r="AC1000">
        <v>82.4</v>
      </c>
    </row>
    <row r="1001" spans="1:29">
      <c r="A1001">
        <v>994</v>
      </c>
      <c r="B1001">
        <v>4445</v>
      </c>
      <c r="C1001" t="s">
        <v>2328</v>
      </c>
      <c r="D1001" t="s">
        <v>39</v>
      </c>
      <c r="E1001" t="s">
        <v>50</v>
      </c>
      <c r="F1001" t="s">
        <v>2329</v>
      </c>
      <c r="G1001" t="str">
        <f>"00456212"</f>
        <v>00456212</v>
      </c>
      <c r="H1001">
        <v>50.4</v>
      </c>
      <c r="I1001">
        <v>0</v>
      </c>
      <c r="J1001">
        <v>8</v>
      </c>
      <c r="M1001">
        <v>8</v>
      </c>
      <c r="N1001">
        <v>4</v>
      </c>
      <c r="O1001">
        <v>2</v>
      </c>
      <c r="P1001">
        <v>64.400000000000006</v>
      </c>
      <c r="Q1001">
        <v>18</v>
      </c>
      <c r="R1001">
        <v>18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18</v>
      </c>
      <c r="Z1001">
        <v>0</v>
      </c>
      <c r="AA1001">
        <v>0</v>
      </c>
      <c r="AC1001">
        <v>82.4</v>
      </c>
    </row>
    <row r="1002" spans="1:29">
      <c r="A1002">
        <v>995</v>
      </c>
      <c r="B1002">
        <v>4340</v>
      </c>
      <c r="C1002" t="s">
        <v>2330</v>
      </c>
      <c r="D1002" t="s">
        <v>159</v>
      </c>
      <c r="E1002" t="s">
        <v>156</v>
      </c>
      <c r="F1002" t="s">
        <v>2331</v>
      </c>
      <c r="G1002" t="str">
        <f>"201511034877"</f>
        <v>201511034877</v>
      </c>
      <c r="H1002">
        <v>14.4</v>
      </c>
      <c r="I1002">
        <v>0</v>
      </c>
      <c r="J1002">
        <v>8</v>
      </c>
      <c r="M1002">
        <v>8</v>
      </c>
      <c r="N1002">
        <v>4</v>
      </c>
      <c r="O1002">
        <v>2</v>
      </c>
      <c r="P1002">
        <v>28.4</v>
      </c>
      <c r="Q1002">
        <v>54</v>
      </c>
      <c r="R1002">
        <v>54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54</v>
      </c>
      <c r="Z1002">
        <v>0</v>
      </c>
      <c r="AA1002">
        <v>0</v>
      </c>
      <c r="AC1002">
        <v>82.4</v>
      </c>
    </row>
    <row r="1003" spans="1:29">
      <c r="A1003">
        <v>996</v>
      </c>
      <c r="B1003">
        <v>4606</v>
      </c>
      <c r="C1003" t="s">
        <v>2332</v>
      </c>
      <c r="D1003" t="s">
        <v>39</v>
      </c>
      <c r="E1003" t="s">
        <v>18</v>
      </c>
      <c r="F1003" t="s">
        <v>2333</v>
      </c>
      <c r="G1003" t="str">
        <f>"00154315"</f>
        <v>00154315</v>
      </c>
      <c r="H1003">
        <v>24.28</v>
      </c>
      <c r="I1003">
        <v>0</v>
      </c>
      <c r="M1003">
        <v>0</v>
      </c>
      <c r="N1003">
        <v>0</v>
      </c>
      <c r="O1003">
        <v>0</v>
      </c>
      <c r="P1003">
        <v>24.28</v>
      </c>
      <c r="Q1003">
        <v>55</v>
      </c>
      <c r="R1003">
        <v>55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55</v>
      </c>
      <c r="Z1003">
        <v>3</v>
      </c>
      <c r="AA1003">
        <v>0</v>
      </c>
      <c r="AC1003">
        <v>82.28</v>
      </c>
    </row>
    <row r="1004" spans="1:29">
      <c r="A1004">
        <v>997</v>
      </c>
      <c r="B1004">
        <v>663</v>
      </c>
      <c r="C1004" t="s">
        <v>2334</v>
      </c>
      <c r="D1004" t="s">
        <v>27</v>
      </c>
      <c r="E1004" t="s">
        <v>18</v>
      </c>
      <c r="F1004" t="s">
        <v>2335</v>
      </c>
      <c r="G1004" t="str">
        <f>"00163441"</f>
        <v>00163441</v>
      </c>
      <c r="H1004">
        <v>30.28</v>
      </c>
      <c r="I1004">
        <v>0</v>
      </c>
      <c r="M1004">
        <v>0</v>
      </c>
      <c r="N1004">
        <v>4</v>
      </c>
      <c r="O1004">
        <v>0</v>
      </c>
      <c r="P1004">
        <v>34.28</v>
      </c>
      <c r="Q1004">
        <v>48</v>
      </c>
      <c r="R1004">
        <v>48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48</v>
      </c>
      <c r="Z1004">
        <v>0</v>
      </c>
      <c r="AA1004">
        <v>0</v>
      </c>
      <c r="AC1004">
        <v>82.28</v>
      </c>
    </row>
    <row r="1005" spans="1:29">
      <c r="A1005">
        <v>998</v>
      </c>
      <c r="B1005">
        <v>98</v>
      </c>
      <c r="C1005" t="s">
        <v>2336</v>
      </c>
      <c r="D1005" t="s">
        <v>52</v>
      </c>
      <c r="E1005" t="s">
        <v>53</v>
      </c>
      <c r="F1005" t="s">
        <v>2337</v>
      </c>
      <c r="G1005" t="str">
        <f>"00518519"</f>
        <v>00518519</v>
      </c>
      <c r="H1005">
        <v>43.2</v>
      </c>
      <c r="I1005">
        <v>0</v>
      </c>
      <c r="J1005">
        <v>8</v>
      </c>
      <c r="M1005">
        <v>8</v>
      </c>
      <c r="N1005">
        <v>4</v>
      </c>
      <c r="O1005">
        <v>0</v>
      </c>
      <c r="P1005">
        <v>55.2</v>
      </c>
      <c r="Q1005">
        <v>18</v>
      </c>
      <c r="R1005">
        <v>18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18</v>
      </c>
      <c r="Z1005">
        <v>9</v>
      </c>
      <c r="AA1005">
        <v>0</v>
      </c>
      <c r="AC1005">
        <v>82.2</v>
      </c>
    </row>
    <row r="1006" spans="1:29">
      <c r="A1006">
        <v>999</v>
      </c>
      <c r="B1006">
        <v>706</v>
      </c>
      <c r="C1006" t="s">
        <v>2338</v>
      </c>
      <c r="D1006" t="s">
        <v>27</v>
      </c>
      <c r="E1006" t="s">
        <v>2339</v>
      </c>
      <c r="F1006" t="s">
        <v>2340</v>
      </c>
      <c r="G1006" t="str">
        <f>"00507561"</f>
        <v>00507561</v>
      </c>
      <c r="H1006">
        <v>26.2</v>
      </c>
      <c r="I1006">
        <v>0</v>
      </c>
      <c r="M1006">
        <v>0</v>
      </c>
      <c r="N1006">
        <v>4</v>
      </c>
      <c r="O1006">
        <v>2</v>
      </c>
      <c r="P1006">
        <v>32.200000000000003</v>
      </c>
      <c r="Q1006">
        <v>44</v>
      </c>
      <c r="R1006">
        <v>44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44</v>
      </c>
      <c r="Z1006">
        <v>6</v>
      </c>
      <c r="AA1006">
        <v>0</v>
      </c>
      <c r="AC1006">
        <v>82.2</v>
      </c>
    </row>
    <row r="1007" spans="1:29">
      <c r="A1007">
        <v>1000</v>
      </c>
      <c r="B1007">
        <v>359</v>
      </c>
      <c r="C1007" t="s">
        <v>2341</v>
      </c>
      <c r="D1007" t="s">
        <v>295</v>
      </c>
      <c r="E1007" t="s">
        <v>2342</v>
      </c>
      <c r="F1007" t="s">
        <v>2343</v>
      </c>
      <c r="G1007" t="str">
        <f>"00208278"</f>
        <v>00208278</v>
      </c>
      <c r="H1007">
        <v>43.2</v>
      </c>
      <c r="I1007">
        <v>10</v>
      </c>
      <c r="L1007">
        <v>4</v>
      </c>
      <c r="M1007">
        <v>4</v>
      </c>
      <c r="N1007">
        <v>4</v>
      </c>
      <c r="O1007">
        <v>0</v>
      </c>
      <c r="P1007">
        <v>61.2</v>
      </c>
      <c r="Q1007">
        <v>18</v>
      </c>
      <c r="R1007">
        <v>18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18</v>
      </c>
      <c r="Z1007">
        <v>3</v>
      </c>
      <c r="AA1007">
        <v>0</v>
      </c>
      <c r="AC1007">
        <v>82.2</v>
      </c>
    </row>
    <row r="1008" spans="1:29">
      <c r="A1008">
        <v>1001</v>
      </c>
      <c r="B1008">
        <v>462</v>
      </c>
      <c r="C1008" t="s">
        <v>2344</v>
      </c>
      <c r="D1008" t="s">
        <v>95</v>
      </c>
      <c r="E1008" t="s">
        <v>60</v>
      </c>
      <c r="F1008" t="s">
        <v>2345</v>
      </c>
      <c r="G1008" t="str">
        <f>"00497929"</f>
        <v>00497929</v>
      </c>
      <c r="H1008">
        <v>7.2</v>
      </c>
      <c r="I1008">
        <v>0</v>
      </c>
      <c r="M1008">
        <v>0</v>
      </c>
      <c r="N1008">
        <v>4</v>
      </c>
      <c r="O1008">
        <v>0</v>
      </c>
      <c r="P1008">
        <v>11.2</v>
      </c>
      <c r="Q1008">
        <v>68</v>
      </c>
      <c r="R1008">
        <v>68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68</v>
      </c>
      <c r="Z1008">
        <v>3</v>
      </c>
      <c r="AA1008">
        <v>0</v>
      </c>
      <c r="AC1008">
        <v>82.2</v>
      </c>
    </row>
    <row r="1009" spans="1:29">
      <c r="A1009">
        <v>1002</v>
      </c>
      <c r="B1009">
        <v>3506</v>
      </c>
      <c r="C1009" t="s">
        <v>2346</v>
      </c>
      <c r="D1009" t="s">
        <v>510</v>
      </c>
      <c r="E1009" t="s">
        <v>777</v>
      </c>
      <c r="F1009" t="s">
        <v>2347</v>
      </c>
      <c r="G1009" t="str">
        <f>"00509399"</f>
        <v>00509399</v>
      </c>
      <c r="H1009">
        <v>39.200000000000003</v>
      </c>
      <c r="I1009">
        <v>0</v>
      </c>
      <c r="M1009">
        <v>0</v>
      </c>
      <c r="N1009">
        <v>0</v>
      </c>
      <c r="O1009">
        <v>0</v>
      </c>
      <c r="P1009">
        <v>39.200000000000003</v>
      </c>
      <c r="Q1009">
        <v>27</v>
      </c>
      <c r="R1009">
        <v>27</v>
      </c>
      <c r="S1009">
        <v>8</v>
      </c>
      <c r="T1009">
        <v>16</v>
      </c>
      <c r="U1009">
        <v>0</v>
      </c>
      <c r="V1009">
        <v>0</v>
      </c>
      <c r="W1009">
        <v>0</v>
      </c>
      <c r="X1009">
        <v>0</v>
      </c>
      <c r="Y1009">
        <v>43</v>
      </c>
      <c r="Z1009">
        <v>0</v>
      </c>
      <c r="AA1009">
        <v>0</v>
      </c>
      <c r="AC1009">
        <v>82.2</v>
      </c>
    </row>
    <row r="1010" spans="1:29">
      <c r="A1010">
        <v>1003</v>
      </c>
      <c r="B1010">
        <v>2913</v>
      </c>
      <c r="C1010" t="s">
        <v>2348</v>
      </c>
      <c r="D1010" t="s">
        <v>27</v>
      </c>
      <c r="E1010" t="s">
        <v>79</v>
      </c>
      <c r="F1010" t="s">
        <v>2349</v>
      </c>
      <c r="G1010" t="str">
        <f>"200712004849"</f>
        <v>200712004849</v>
      </c>
      <c r="H1010">
        <v>7.2</v>
      </c>
      <c r="I1010">
        <v>10</v>
      </c>
      <c r="J1010">
        <v>8</v>
      </c>
      <c r="M1010">
        <v>8</v>
      </c>
      <c r="N1010">
        <v>4</v>
      </c>
      <c r="O1010">
        <v>0</v>
      </c>
      <c r="P1010">
        <v>29.2</v>
      </c>
      <c r="Q1010">
        <v>53</v>
      </c>
      <c r="R1010">
        <v>53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53</v>
      </c>
      <c r="Z1010">
        <v>0</v>
      </c>
      <c r="AA1010">
        <v>0</v>
      </c>
      <c r="AC1010">
        <v>82.2</v>
      </c>
    </row>
    <row r="1011" spans="1:29">
      <c r="A1011">
        <v>1004</v>
      </c>
      <c r="B1011">
        <v>1526</v>
      </c>
      <c r="C1011" t="s">
        <v>2350</v>
      </c>
      <c r="D1011" t="s">
        <v>2351</v>
      </c>
      <c r="E1011" t="s">
        <v>32</v>
      </c>
      <c r="F1011" t="s">
        <v>2352</v>
      </c>
      <c r="G1011" t="str">
        <f>"00507062"</f>
        <v>00507062</v>
      </c>
      <c r="H1011">
        <v>39.159999999999997</v>
      </c>
      <c r="I1011">
        <v>10</v>
      </c>
      <c r="L1011">
        <v>4</v>
      </c>
      <c r="M1011">
        <v>4</v>
      </c>
      <c r="N1011">
        <v>4</v>
      </c>
      <c r="O1011">
        <v>2</v>
      </c>
      <c r="P1011">
        <v>59.16</v>
      </c>
      <c r="Q1011">
        <v>14</v>
      </c>
      <c r="R1011">
        <v>14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14</v>
      </c>
      <c r="Z1011">
        <v>9</v>
      </c>
      <c r="AA1011">
        <v>0</v>
      </c>
      <c r="AC1011">
        <v>82.16</v>
      </c>
    </row>
    <row r="1012" spans="1:29">
      <c r="A1012">
        <v>1005</v>
      </c>
      <c r="B1012">
        <v>3723</v>
      </c>
      <c r="C1012" t="s">
        <v>2362</v>
      </c>
      <c r="D1012" t="s">
        <v>569</v>
      </c>
      <c r="E1012" t="s">
        <v>1567</v>
      </c>
      <c r="F1012" t="s">
        <v>2363</v>
      </c>
      <c r="G1012" t="str">
        <f>"00521727"</f>
        <v>00521727</v>
      </c>
      <c r="H1012">
        <v>72</v>
      </c>
      <c r="I1012">
        <v>0</v>
      </c>
      <c r="L1012">
        <v>4</v>
      </c>
      <c r="M1012">
        <v>4</v>
      </c>
      <c r="N1012">
        <v>4</v>
      </c>
      <c r="O1012">
        <v>2</v>
      </c>
      <c r="P1012">
        <v>82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C1012">
        <v>82</v>
      </c>
    </row>
    <row r="1013" spans="1:29">
      <c r="A1013">
        <v>1006</v>
      </c>
      <c r="B1013">
        <v>3537</v>
      </c>
      <c r="C1013" t="s">
        <v>1496</v>
      </c>
      <c r="D1013" t="s">
        <v>141</v>
      </c>
      <c r="E1013" t="s">
        <v>134</v>
      </c>
      <c r="F1013" t="s">
        <v>2357</v>
      </c>
      <c r="G1013" t="str">
        <f>"00522286"</f>
        <v>00522286</v>
      </c>
      <c r="H1013">
        <v>72</v>
      </c>
      <c r="I1013">
        <v>0</v>
      </c>
      <c r="L1013">
        <v>4</v>
      </c>
      <c r="M1013">
        <v>4</v>
      </c>
      <c r="N1013">
        <v>4</v>
      </c>
      <c r="O1013">
        <v>2</v>
      </c>
      <c r="P1013">
        <v>82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C1013">
        <v>82</v>
      </c>
    </row>
    <row r="1014" spans="1:29">
      <c r="A1014">
        <v>1007</v>
      </c>
      <c r="B1014">
        <v>1953</v>
      </c>
      <c r="C1014" t="s">
        <v>2355</v>
      </c>
      <c r="D1014" t="s">
        <v>164</v>
      </c>
      <c r="E1014" t="s">
        <v>66</v>
      </c>
      <c r="F1014" t="s">
        <v>2356</v>
      </c>
      <c r="G1014" t="str">
        <f>"00857088"</f>
        <v>00857088</v>
      </c>
      <c r="H1014">
        <v>72</v>
      </c>
      <c r="I1014">
        <v>0</v>
      </c>
      <c r="L1014">
        <v>4</v>
      </c>
      <c r="M1014">
        <v>4</v>
      </c>
      <c r="N1014">
        <v>4</v>
      </c>
      <c r="O1014">
        <v>2</v>
      </c>
      <c r="P1014">
        <v>82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C1014">
        <v>82</v>
      </c>
    </row>
    <row r="1015" spans="1:29">
      <c r="A1015">
        <v>1008</v>
      </c>
      <c r="B1015">
        <v>1753</v>
      </c>
      <c r="C1015" t="s">
        <v>2358</v>
      </c>
      <c r="D1015" t="s">
        <v>1278</v>
      </c>
      <c r="E1015" t="s">
        <v>79</v>
      </c>
      <c r="F1015" t="s">
        <v>2359</v>
      </c>
      <c r="G1015" t="str">
        <f>"00533923"</f>
        <v>00533923</v>
      </c>
      <c r="H1015">
        <v>72</v>
      </c>
      <c r="I1015">
        <v>10</v>
      </c>
      <c r="M1015">
        <v>0</v>
      </c>
      <c r="N1015">
        <v>0</v>
      </c>
      <c r="O1015">
        <v>0</v>
      </c>
      <c r="P1015">
        <v>82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C1015">
        <v>82</v>
      </c>
    </row>
    <row r="1016" spans="1:29">
      <c r="A1016">
        <v>1009</v>
      </c>
      <c r="B1016">
        <v>3109</v>
      </c>
      <c r="C1016" t="s">
        <v>2353</v>
      </c>
      <c r="D1016" t="s">
        <v>35</v>
      </c>
      <c r="E1016" t="s">
        <v>15</v>
      </c>
      <c r="F1016" t="s">
        <v>2354</v>
      </c>
      <c r="G1016" t="str">
        <f>"00667521"</f>
        <v>00667521</v>
      </c>
      <c r="H1016">
        <v>72</v>
      </c>
      <c r="I1016">
        <v>0</v>
      </c>
      <c r="L1016">
        <v>4</v>
      </c>
      <c r="M1016">
        <v>4</v>
      </c>
      <c r="N1016">
        <v>4</v>
      </c>
      <c r="O1016">
        <v>2</v>
      </c>
      <c r="P1016">
        <v>82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C1016">
        <v>82</v>
      </c>
    </row>
    <row r="1017" spans="1:29">
      <c r="A1017">
        <v>1010</v>
      </c>
      <c r="B1017">
        <v>4818</v>
      </c>
      <c r="C1017" t="s">
        <v>2364</v>
      </c>
      <c r="D1017" t="s">
        <v>2365</v>
      </c>
      <c r="E1017" t="s">
        <v>15</v>
      </c>
      <c r="F1017" t="s">
        <v>2366</v>
      </c>
      <c r="G1017" t="str">
        <f>"00531556"</f>
        <v>00531556</v>
      </c>
      <c r="H1017">
        <v>72</v>
      </c>
      <c r="I1017">
        <v>10</v>
      </c>
      <c r="M1017">
        <v>0</v>
      </c>
      <c r="N1017">
        <v>0</v>
      </c>
      <c r="O1017">
        <v>0</v>
      </c>
      <c r="P1017">
        <v>82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C1017">
        <v>82</v>
      </c>
    </row>
    <row r="1018" spans="1:29">
      <c r="A1018">
        <v>1011</v>
      </c>
      <c r="B1018">
        <v>4217</v>
      </c>
      <c r="C1018" t="s">
        <v>2360</v>
      </c>
      <c r="D1018" t="s">
        <v>86</v>
      </c>
      <c r="E1018" t="s">
        <v>2361</v>
      </c>
      <c r="G1018" t="str">
        <f>"00863177"</f>
        <v>00863177</v>
      </c>
      <c r="H1018">
        <v>72</v>
      </c>
      <c r="I1018">
        <v>10</v>
      </c>
      <c r="M1018">
        <v>0</v>
      </c>
      <c r="N1018">
        <v>0</v>
      </c>
      <c r="O1018">
        <v>0</v>
      </c>
      <c r="P1018">
        <v>82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C1018">
        <v>82</v>
      </c>
    </row>
    <row r="1019" spans="1:29">
      <c r="A1019">
        <v>1012</v>
      </c>
      <c r="B1019">
        <v>1600</v>
      </c>
      <c r="C1019" t="s">
        <v>2369</v>
      </c>
      <c r="D1019" t="s">
        <v>2155</v>
      </c>
      <c r="E1019" t="s">
        <v>36</v>
      </c>
      <c r="F1019" t="s">
        <v>2370</v>
      </c>
      <c r="G1019" t="str">
        <f>"00534266"</f>
        <v>00534266</v>
      </c>
      <c r="H1019">
        <v>40</v>
      </c>
      <c r="I1019">
        <v>10</v>
      </c>
      <c r="J1019">
        <v>8</v>
      </c>
      <c r="M1019">
        <v>8</v>
      </c>
      <c r="N1019">
        <v>4</v>
      </c>
      <c r="O1019">
        <v>2</v>
      </c>
      <c r="P1019">
        <v>64</v>
      </c>
      <c r="Q1019">
        <v>18</v>
      </c>
      <c r="R1019">
        <v>18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18</v>
      </c>
      <c r="Z1019">
        <v>0</v>
      </c>
      <c r="AA1019">
        <v>0</v>
      </c>
      <c r="AC1019">
        <v>82</v>
      </c>
    </row>
    <row r="1020" spans="1:29">
      <c r="A1020">
        <v>1013</v>
      </c>
      <c r="B1020">
        <v>3370</v>
      </c>
      <c r="C1020" t="s">
        <v>2371</v>
      </c>
      <c r="D1020" t="s">
        <v>164</v>
      </c>
      <c r="E1020" t="s">
        <v>18</v>
      </c>
      <c r="F1020" t="s">
        <v>2372</v>
      </c>
      <c r="G1020" t="str">
        <f>"00019694"</f>
        <v>00019694</v>
      </c>
      <c r="H1020">
        <v>40</v>
      </c>
      <c r="I1020">
        <v>10</v>
      </c>
      <c r="J1020">
        <v>8</v>
      </c>
      <c r="M1020">
        <v>8</v>
      </c>
      <c r="N1020">
        <v>4</v>
      </c>
      <c r="O1020">
        <v>2</v>
      </c>
      <c r="P1020">
        <v>64</v>
      </c>
      <c r="Q1020">
        <v>18</v>
      </c>
      <c r="R1020">
        <v>18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18</v>
      </c>
      <c r="Z1020">
        <v>0</v>
      </c>
      <c r="AA1020">
        <v>0</v>
      </c>
      <c r="AC1020">
        <v>82</v>
      </c>
    </row>
    <row r="1021" spans="1:29">
      <c r="A1021">
        <v>1014</v>
      </c>
      <c r="B1021">
        <v>2663</v>
      </c>
      <c r="C1021" t="s">
        <v>2367</v>
      </c>
      <c r="D1021" t="s">
        <v>1875</v>
      </c>
      <c r="E1021" t="s">
        <v>15</v>
      </c>
      <c r="F1021" t="s">
        <v>2368</v>
      </c>
      <c r="G1021" t="str">
        <f>"201510001052"</f>
        <v>201510001052</v>
      </c>
      <c r="H1021">
        <v>40</v>
      </c>
      <c r="I1021">
        <v>10</v>
      </c>
      <c r="J1021">
        <v>16</v>
      </c>
      <c r="M1021">
        <v>16</v>
      </c>
      <c r="N1021">
        <v>4</v>
      </c>
      <c r="O1021">
        <v>2</v>
      </c>
      <c r="P1021">
        <v>64</v>
      </c>
      <c r="Q1021">
        <v>18</v>
      </c>
      <c r="R1021">
        <v>18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18</v>
      </c>
      <c r="Z1021">
        <v>0</v>
      </c>
      <c r="AA1021">
        <v>0</v>
      </c>
      <c r="AC1021">
        <v>82</v>
      </c>
    </row>
    <row r="1022" spans="1:29">
      <c r="A1022">
        <v>1015</v>
      </c>
      <c r="B1022">
        <v>2873</v>
      </c>
      <c r="C1022" t="s">
        <v>2376</v>
      </c>
      <c r="D1022" t="s">
        <v>27</v>
      </c>
      <c r="E1022" t="s">
        <v>18</v>
      </c>
      <c r="F1022" t="s">
        <v>2377</v>
      </c>
      <c r="G1022" t="str">
        <f>"00492502"</f>
        <v>00492502</v>
      </c>
      <c r="H1022">
        <v>36</v>
      </c>
      <c r="I1022">
        <v>0</v>
      </c>
      <c r="J1022">
        <v>8</v>
      </c>
      <c r="M1022">
        <v>8</v>
      </c>
      <c r="N1022">
        <v>4</v>
      </c>
      <c r="O1022">
        <v>2</v>
      </c>
      <c r="P1022">
        <v>50</v>
      </c>
      <c r="Q1022">
        <v>32</v>
      </c>
      <c r="R1022">
        <v>32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32</v>
      </c>
      <c r="Z1022">
        <v>0</v>
      </c>
      <c r="AA1022">
        <v>0</v>
      </c>
      <c r="AC1022">
        <v>82</v>
      </c>
    </row>
    <row r="1023" spans="1:29">
      <c r="A1023">
        <v>1016</v>
      </c>
      <c r="B1023">
        <v>4248</v>
      </c>
      <c r="C1023" t="s">
        <v>2373</v>
      </c>
      <c r="D1023" t="s">
        <v>185</v>
      </c>
      <c r="E1023" t="s">
        <v>2374</v>
      </c>
      <c r="F1023" t="s">
        <v>2375</v>
      </c>
      <c r="G1023" t="str">
        <f>"00503187"</f>
        <v>00503187</v>
      </c>
      <c r="H1023">
        <v>36</v>
      </c>
      <c r="I1023">
        <v>0</v>
      </c>
      <c r="J1023">
        <v>8</v>
      </c>
      <c r="M1023">
        <v>8</v>
      </c>
      <c r="N1023">
        <v>4</v>
      </c>
      <c r="O1023">
        <v>2</v>
      </c>
      <c r="P1023">
        <v>50</v>
      </c>
      <c r="Q1023">
        <v>32</v>
      </c>
      <c r="R1023">
        <v>32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32</v>
      </c>
      <c r="Z1023">
        <v>0</v>
      </c>
      <c r="AA1023">
        <v>0</v>
      </c>
      <c r="AC1023">
        <v>82</v>
      </c>
    </row>
    <row r="1024" spans="1:29">
      <c r="A1024">
        <v>1017</v>
      </c>
      <c r="B1024">
        <v>1291</v>
      </c>
      <c r="C1024" t="s">
        <v>1093</v>
      </c>
      <c r="D1024" t="s">
        <v>2378</v>
      </c>
      <c r="E1024" t="s">
        <v>156</v>
      </c>
      <c r="F1024" t="s">
        <v>2379</v>
      </c>
      <c r="G1024" t="str">
        <f>"00498272"</f>
        <v>00498272</v>
      </c>
      <c r="H1024">
        <v>36</v>
      </c>
      <c r="I1024">
        <v>0</v>
      </c>
      <c r="M1024">
        <v>0</v>
      </c>
      <c r="N1024">
        <v>4</v>
      </c>
      <c r="O1024">
        <v>2</v>
      </c>
      <c r="P1024">
        <v>42</v>
      </c>
      <c r="Q1024">
        <v>4</v>
      </c>
      <c r="R1024">
        <v>4</v>
      </c>
      <c r="S1024">
        <v>18</v>
      </c>
      <c r="T1024">
        <v>36</v>
      </c>
      <c r="U1024">
        <v>0</v>
      </c>
      <c r="V1024">
        <v>0</v>
      </c>
      <c r="W1024">
        <v>0</v>
      </c>
      <c r="X1024">
        <v>0</v>
      </c>
      <c r="Y1024">
        <v>40</v>
      </c>
      <c r="Z1024">
        <v>0</v>
      </c>
      <c r="AA1024">
        <v>0</v>
      </c>
      <c r="AC1024">
        <v>82</v>
      </c>
    </row>
    <row r="1025" spans="1:29">
      <c r="A1025">
        <v>1018</v>
      </c>
      <c r="B1025">
        <v>1415</v>
      </c>
      <c r="C1025" t="s">
        <v>2380</v>
      </c>
      <c r="D1025" t="s">
        <v>2381</v>
      </c>
      <c r="E1025" t="s">
        <v>777</v>
      </c>
      <c r="F1025" t="s">
        <v>2382</v>
      </c>
      <c r="G1025" t="str">
        <f>"00532523"</f>
        <v>00532523</v>
      </c>
      <c r="H1025">
        <v>36</v>
      </c>
      <c r="I1025">
        <v>0</v>
      </c>
      <c r="M1025">
        <v>0</v>
      </c>
      <c r="N1025">
        <v>0</v>
      </c>
      <c r="O1025">
        <v>0</v>
      </c>
      <c r="P1025">
        <v>36</v>
      </c>
      <c r="Q1025">
        <v>46</v>
      </c>
      <c r="R1025">
        <v>46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46</v>
      </c>
      <c r="Z1025">
        <v>0</v>
      </c>
      <c r="AA1025">
        <v>0</v>
      </c>
      <c r="AC1025">
        <v>82</v>
      </c>
    </row>
    <row r="1026" spans="1:29">
      <c r="A1026">
        <v>1019</v>
      </c>
      <c r="B1026">
        <v>2315</v>
      </c>
      <c r="C1026" t="s">
        <v>2383</v>
      </c>
      <c r="D1026" t="s">
        <v>2384</v>
      </c>
      <c r="E1026" t="s">
        <v>889</v>
      </c>
      <c r="F1026" t="s">
        <v>2385</v>
      </c>
      <c r="G1026" t="str">
        <f>"00508024"</f>
        <v>00508024</v>
      </c>
      <c r="H1026">
        <v>36</v>
      </c>
      <c r="I1026">
        <v>0</v>
      </c>
      <c r="M1026">
        <v>0</v>
      </c>
      <c r="N1026">
        <v>0</v>
      </c>
      <c r="O1026">
        <v>0</v>
      </c>
      <c r="P1026">
        <v>36</v>
      </c>
      <c r="Q1026">
        <v>46</v>
      </c>
      <c r="R1026">
        <v>46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46</v>
      </c>
      <c r="Z1026">
        <v>0</v>
      </c>
      <c r="AA1026">
        <v>0</v>
      </c>
      <c r="AC1026">
        <v>82</v>
      </c>
    </row>
    <row r="1027" spans="1:29">
      <c r="A1027">
        <v>1020</v>
      </c>
      <c r="B1027">
        <v>3542</v>
      </c>
      <c r="C1027" t="s">
        <v>2386</v>
      </c>
      <c r="D1027" t="s">
        <v>2387</v>
      </c>
      <c r="E1027" t="s">
        <v>18</v>
      </c>
      <c r="F1027" t="s">
        <v>2388</v>
      </c>
      <c r="G1027" t="str">
        <f>"00471303"</f>
        <v>00471303</v>
      </c>
      <c r="H1027">
        <v>30.92</v>
      </c>
      <c r="I1027">
        <v>0</v>
      </c>
      <c r="M1027">
        <v>0</v>
      </c>
      <c r="N1027">
        <v>4</v>
      </c>
      <c r="O1027">
        <v>2</v>
      </c>
      <c r="P1027">
        <v>36.92</v>
      </c>
      <c r="Q1027">
        <v>39</v>
      </c>
      <c r="R1027">
        <v>39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39</v>
      </c>
      <c r="Z1027">
        <v>6</v>
      </c>
      <c r="AA1027">
        <v>0</v>
      </c>
      <c r="AC1027">
        <v>81.92</v>
      </c>
    </row>
    <row r="1028" spans="1:29">
      <c r="A1028">
        <v>1021</v>
      </c>
      <c r="B1028">
        <v>926</v>
      </c>
      <c r="C1028" t="s">
        <v>2389</v>
      </c>
      <c r="D1028" t="s">
        <v>164</v>
      </c>
      <c r="E1028" t="s">
        <v>227</v>
      </c>
      <c r="F1028" t="s">
        <v>2390</v>
      </c>
      <c r="G1028" t="str">
        <f>"00529773"</f>
        <v>00529773</v>
      </c>
      <c r="H1028">
        <v>16.84</v>
      </c>
      <c r="I1028">
        <v>10</v>
      </c>
      <c r="M1028">
        <v>0</v>
      </c>
      <c r="N1028">
        <v>4</v>
      </c>
      <c r="O1028">
        <v>0</v>
      </c>
      <c r="P1028">
        <v>30.84</v>
      </c>
      <c r="Q1028">
        <v>45</v>
      </c>
      <c r="R1028">
        <v>45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45</v>
      </c>
      <c r="Z1028">
        <v>6</v>
      </c>
      <c r="AA1028">
        <v>0</v>
      </c>
      <c r="AC1028">
        <v>81.84</v>
      </c>
    </row>
    <row r="1029" spans="1:29">
      <c r="A1029">
        <v>1022</v>
      </c>
      <c r="B1029">
        <v>504</v>
      </c>
      <c r="C1029" t="s">
        <v>2391</v>
      </c>
      <c r="D1029" t="s">
        <v>2392</v>
      </c>
      <c r="E1029" t="s">
        <v>2393</v>
      </c>
      <c r="F1029" t="s">
        <v>2394</v>
      </c>
      <c r="G1029" t="str">
        <f>"00480891"</f>
        <v>00480891</v>
      </c>
      <c r="H1029">
        <v>16.8</v>
      </c>
      <c r="I1029">
        <v>0</v>
      </c>
      <c r="M1029">
        <v>0</v>
      </c>
      <c r="N1029">
        <v>0</v>
      </c>
      <c r="O1029">
        <v>0</v>
      </c>
      <c r="P1029">
        <v>16.8</v>
      </c>
      <c r="Q1029">
        <v>59</v>
      </c>
      <c r="R1029">
        <v>59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59</v>
      </c>
      <c r="Z1029">
        <v>6</v>
      </c>
      <c r="AA1029">
        <v>0</v>
      </c>
      <c r="AC1029">
        <v>81.8</v>
      </c>
    </row>
    <row r="1030" spans="1:29">
      <c r="A1030">
        <v>1023</v>
      </c>
      <c r="B1030">
        <v>2783</v>
      </c>
      <c r="C1030" t="s">
        <v>2395</v>
      </c>
      <c r="D1030" t="s">
        <v>52</v>
      </c>
      <c r="E1030" t="s">
        <v>1074</v>
      </c>
      <c r="F1030" t="s">
        <v>2396</v>
      </c>
      <c r="G1030" t="str">
        <f>"00093463"</f>
        <v>00093463</v>
      </c>
      <c r="H1030">
        <v>24.72</v>
      </c>
      <c r="I1030">
        <v>0</v>
      </c>
      <c r="J1030">
        <v>8</v>
      </c>
      <c r="M1030">
        <v>8</v>
      </c>
      <c r="N1030">
        <v>4</v>
      </c>
      <c r="O1030">
        <v>2</v>
      </c>
      <c r="P1030">
        <v>38.72</v>
      </c>
      <c r="Q1030">
        <v>34</v>
      </c>
      <c r="R1030">
        <v>34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34</v>
      </c>
      <c r="Z1030">
        <v>9</v>
      </c>
      <c r="AA1030">
        <v>0</v>
      </c>
      <c r="AC1030">
        <v>81.72</v>
      </c>
    </row>
    <row r="1031" spans="1:29">
      <c r="A1031">
        <v>1024</v>
      </c>
      <c r="B1031">
        <v>2601</v>
      </c>
      <c r="C1031" t="s">
        <v>2397</v>
      </c>
      <c r="D1031" t="s">
        <v>1413</v>
      </c>
      <c r="E1031" t="s">
        <v>32</v>
      </c>
      <c r="F1031" t="s">
        <v>2398</v>
      </c>
      <c r="G1031" t="str">
        <f>"00187955"</f>
        <v>00187955</v>
      </c>
      <c r="H1031">
        <v>31.68</v>
      </c>
      <c r="I1031">
        <v>0</v>
      </c>
      <c r="J1031">
        <v>16</v>
      </c>
      <c r="M1031">
        <v>16</v>
      </c>
      <c r="N1031">
        <v>4</v>
      </c>
      <c r="O1031">
        <v>0</v>
      </c>
      <c r="P1031">
        <v>51.68</v>
      </c>
      <c r="Q1031">
        <v>24</v>
      </c>
      <c r="R1031">
        <v>24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24</v>
      </c>
      <c r="Z1031">
        <v>6</v>
      </c>
      <c r="AA1031">
        <v>0</v>
      </c>
      <c r="AC1031">
        <v>81.680000000000007</v>
      </c>
    </row>
    <row r="1032" spans="1:29">
      <c r="A1032">
        <v>1025</v>
      </c>
      <c r="B1032">
        <v>2274</v>
      </c>
      <c r="C1032" t="s">
        <v>2399</v>
      </c>
      <c r="D1032" t="s">
        <v>31</v>
      </c>
      <c r="E1032" t="s">
        <v>369</v>
      </c>
      <c r="F1032" t="s">
        <v>2400</v>
      </c>
      <c r="G1032" t="str">
        <f>"00441748"</f>
        <v>00441748</v>
      </c>
      <c r="H1032">
        <v>39.68</v>
      </c>
      <c r="I1032">
        <v>0</v>
      </c>
      <c r="L1032">
        <v>4</v>
      </c>
      <c r="M1032">
        <v>4</v>
      </c>
      <c r="N1032">
        <v>4</v>
      </c>
      <c r="O1032">
        <v>2</v>
      </c>
      <c r="P1032">
        <v>49.68</v>
      </c>
      <c r="Q1032">
        <v>26</v>
      </c>
      <c r="R1032">
        <v>26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26</v>
      </c>
      <c r="Z1032">
        <v>6</v>
      </c>
      <c r="AA1032">
        <v>0</v>
      </c>
      <c r="AC1032">
        <v>81.680000000000007</v>
      </c>
    </row>
    <row r="1033" spans="1:29">
      <c r="A1033">
        <v>1026</v>
      </c>
      <c r="B1033">
        <v>726</v>
      </c>
      <c r="C1033" t="s">
        <v>2401</v>
      </c>
      <c r="D1033" t="s">
        <v>2402</v>
      </c>
      <c r="E1033" t="s">
        <v>99</v>
      </c>
      <c r="F1033" t="s">
        <v>2403</v>
      </c>
      <c r="G1033" t="str">
        <f>"00856825"</f>
        <v>00856825</v>
      </c>
      <c r="H1033">
        <v>36.799999999999997</v>
      </c>
      <c r="I1033">
        <v>10</v>
      </c>
      <c r="J1033">
        <v>8</v>
      </c>
      <c r="M1033">
        <v>8</v>
      </c>
      <c r="N1033">
        <v>0</v>
      </c>
      <c r="O1033">
        <v>0</v>
      </c>
      <c r="P1033">
        <v>54.8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26.8</v>
      </c>
      <c r="AC1033">
        <v>81.599999999999994</v>
      </c>
    </row>
    <row r="1034" spans="1:29">
      <c r="A1034">
        <v>1027</v>
      </c>
      <c r="B1034">
        <v>2206</v>
      </c>
      <c r="C1034" t="s">
        <v>2404</v>
      </c>
      <c r="D1034" t="s">
        <v>248</v>
      </c>
      <c r="E1034" t="s">
        <v>28</v>
      </c>
      <c r="F1034" t="s">
        <v>2405</v>
      </c>
      <c r="G1034" t="str">
        <f>"00531824"</f>
        <v>00531824</v>
      </c>
      <c r="H1034">
        <v>32.6</v>
      </c>
      <c r="I1034">
        <v>0</v>
      </c>
      <c r="J1034">
        <v>8</v>
      </c>
      <c r="M1034">
        <v>8</v>
      </c>
      <c r="N1034">
        <v>4</v>
      </c>
      <c r="O1034">
        <v>2</v>
      </c>
      <c r="P1034">
        <v>46.6</v>
      </c>
      <c r="Q1034">
        <v>17</v>
      </c>
      <c r="R1034">
        <v>17</v>
      </c>
      <c r="S1034">
        <v>0</v>
      </c>
      <c r="T1034">
        <v>0</v>
      </c>
      <c r="U1034">
        <v>6</v>
      </c>
      <c r="V1034">
        <v>9</v>
      </c>
      <c r="W1034">
        <v>0</v>
      </c>
      <c r="X1034">
        <v>0</v>
      </c>
      <c r="Y1034">
        <v>26</v>
      </c>
      <c r="Z1034">
        <v>9</v>
      </c>
      <c r="AA1034">
        <v>0</v>
      </c>
      <c r="AC1034">
        <v>81.599999999999994</v>
      </c>
    </row>
    <row r="1035" spans="1:29">
      <c r="A1035">
        <v>1028</v>
      </c>
      <c r="B1035">
        <v>147</v>
      </c>
      <c r="C1035" t="s">
        <v>2406</v>
      </c>
      <c r="D1035" t="s">
        <v>2407</v>
      </c>
      <c r="E1035" t="s">
        <v>115</v>
      </c>
      <c r="F1035" t="s">
        <v>2408</v>
      </c>
      <c r="G1035" t="str">
        <f>"00509056"</f>
        <v>00509056</v>
      </c>
      <c r="H1035">
        <v>21.6</v>
      </c>
      <c r="I1035">
        <v>10</v>
      </c>
      <c r="M1035">
        <v>0</v>
      </c>
      <c r="N1035">
        <v>4</v>
      </c>
      <c r="O1035">
        <v>2</v>
      </c>
      <c r="P1035">
        <v>37.6</v>
      </c>
      <c r="Q1035">
        <v>41</v>
      </c>
      <c r="R1035">
        <v>41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41</v>
      </c>
      <c r="Z1035">
        <v>3</v>
      </c>
      <c r="AA1035">
        <v>0</v>
      </c>
      <c r="AC1035">
        <v>81.599999999999994</v>
      </c>
    </row>
    <row r="1036" spans="1:29">
      <c r="A1036">
        <v>1029</v>
      </c>
      <c r="B1036">
        <v>4682</v>
      </c>
      <c r="C1036" t="s">
        <v>2409</v>
      </c>
      <c r="D1036" t="s">
        <v>130</v>
      </c>
      <c r="E1036" t="s">
        <v>28</v>
      </c>
      <c r="F1036" t="s">
        <v>2410</v>
      </c>
      <c r="G1036" t="str">
        <f>"00161919"</f>
        <v>00161919</v>
      </c>
      <c r="H1036">
        <v>21.6</v>
      </c>
      <c r="I1036">
        <v>0</v>
      </c>
      <c r="L1036">
        <v>4</v>
      </c>
      <c r="M1036">
        <v>4</v>
      </c>
      <c r="N1036">
        <v>4</v>
      </c>
      <c r="O1036">
        <v>2</v>
      </c>
      <c r="P1036">
        <v>31.6</v>
      </c>
      <c r="Q1036">
        <v>47</v>
      </c>
      <c r="R1036">
        <v>47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47</v>
      </c>
      <c r="Z1036">
        <v>3</v>
      </c>
      <c r="AA1036">
        <v>0</v>
      </c>
      <c r="AB1036" t="s">
        <v>128</v>
      </c>
      <c r="AC1036">
        <v>81.599999999999994</v>
      </c>
    </row>
    <row r="1037" spans="1:29">
      <c r="A1037">
        <v>1030</v>
      </c>
      <c r="B1037">
        <v>2999</v>
      </c>
      <c r="C1037" t="s">
        <v>959</v>
      </c>
      <c r="D1037" t="s">
        <v>2411</v>
      </c>
      <c r="E1037" t="s">
        <v>134</v>
      </c>
      <c r="F1037" t="s">
        <v>2412</v>
      </c>
      <c r="G1037" t="str">
        <f>"00510101"</f>
        <v>00510101</v>
      </c>
      <c r="H1037">
        <v>28.56</v>
      </c>
      <c r="I1037">
        <v>10</v>
      </c>
      <c r="M1037">
        <v>0</v>
      </c>
      <c r="N1037">
        <v>0</v>
      </c>
      <c r="O1037">
        <v>0</v>
      </c>
      <c r="P1037">
        <v>38.56</v>
      </c>
      <c r="Q1037">
        <v>37</v>
      </c>
      <c r="R1037">
        <v>37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37</v>
      </c>
      <c r="Z1037">
        <v>6</v>
      </c>
      <c r="AA1037">
        <v>0</v>
      </c>
      <c r="AC1037">
        <v>81.56</v>
      </c>
    </row>
    <row r="1038" spans="1:29">
      <c r="A1038">
        <v>1031</v>
      </c>
      <c r="B1038">
        <v>1163</v>
      </c>
      <c r="C1038" t="s">
        <v>2413</v>
      </c>
      <c r="D1038" t="s">
        <v>39</v>
      </c>
      <c r="E1038" t="s">
        <v>2414</v>
      </c>
      <c r="F1038" t="s">
        <v>2415</v>
      </c>
      <c r="G1038" t="str">
        <f>"00531635"</f>
        <v>00531635</v>
      </c>
      <c r="H1038">
        <v>24.4</v>
      </c>
      <c r="I1038">
        <v>0</v>
      </c>
      <c r="M1038">
        <v>0</v>
      </c>
      <c r="N1038">
        <v>4</v>
      </c>
      <c r="O1038">
        <v>0</v>
      </c>
      <c r="P1038">
        <v>28.4</v>
      </c>
      <c r="Q1038">
        <v>44</v>
      </c>
      <c r="R1038">
        <v>44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44</v>
      </c>
      <c r="Z1038">
        <v>9</v>
      </c>
      <c r="AA1038">
        <v>0</v>
      </c>
      <c r="AC1038">
        <v>81.400000000000006</v>
      </c>
    </row>
    <row r="1039" spans="1:29">
      <c r="A1039">
        <v>1032</v>
      </c>
      <c r="B1039">
        <v>2857</v>
      </c>
      <c r="C1039" t="s">
        <v>2416</v>
      </c>
      <c r="D1039" t="s">
        <v>170</v>
      </c>
      <c r="E1039" t="s">
        <v>122</v>
      </c>
      <c r="F1039" t="s">
        <v>2417</v>
      </c>
      <c r="G1039" t="str">
        <f>"00499501"</f>
        <v>00499501</v>
      </c>
      <c r="H1039">
        <v>50.4</v>
      </c>
      <c r="I1039">
        <v>0</v>
      </c>
      <c r="L1039">
        <v>4</v>
      </c>
      <c r="M1039">
        <v>4</v>
      </c>
      <c r="N1039">
        <v>4</v>
      </c>
      <c r="O1039">
        <v>2</v>
      </c>
      <c r="P1039">
        <v>60.4</v>
      </c>
      <c r="Q1039">
        <v>18</v>
      </c>
      <c r="R1039">
        <v>18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18</v>
      </c>
      <c r="Z1039">
        <v>3</v>
      </c>
      <c r="AA1039">
        <v>0</v>
      </c>
      <c r="AC1039">
        <v>81.400000000000006</v>
      </c>
    </row>
    <row r="1040" spans="1:29">
      <c r="A1040">
        <v>1033</v>
      </c>
      <c r="B1040">
        <v>148</v>
      </c>
      <c r="C1040" t="s">
        <v>2418</v>
      </c>
      <c r="D1040" t="s">
        <v>86</v>
      </c>
      <c r="E1040" t="s">
        <v>18</v>
      </c>
      <c r="F1040" t="s">
        <v>2419</v>
      </c>
      <c r="G1040" t="str">
        <f>"00471988"</f>
        <v>00471988</v>
      </c>
      <c r="H1040">
        <v>32.28</v>
      </c>
      <c r="I1040">
        <v>0</v>
      </c>
      <c r="L1040">
        <v>4</v>
      </c>
      <c r="M1040">
        <v>4</v>
      </c>
      <c r="N1040">
        <v>4</v>
      </c>
      <c r="O1040">
        <v>2</v>
      </c>
      <c r="P1040">
        <v>42.28</v>
      </c>
      <c r="Q1040">
        <v>33</v>
      </c>
      <c r="R1040">
        <v>33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33</v>
      </c>
      <c r="Z1040">
        <v>6</v>
      </c>
      <c r="AA1040">
        <v>0</v>
      </c>
      <c r="AC1040">
        <v>81.28</v>
      </c>
    </row>
    <row r="1041" spans="1:29">
      <c r="A1041">
        <v>1034</v>
      </c>
      <c r="B1041">
        <v>1655</v>
      </c>
      <c r="C1041" t="s">
        <v>2420</v>
      </c>
      <c r="D1041" t="s">
        <v>167</v>
      </c>
      <c r="E1041" t="s">
        <v>122</v>
      </c>
      <c r="F1041" t="s">
        <v>2421</v>
      </c>
      <c r="G1041" t="str">
        <f>"00508170"</f>
        <v>00508170</v>
      </c>
      <c r="H1041">
        <v>43.2</v>
      </c>
      <c r="I1041">
        <v>0</v>
      </c>
      <c r="L1041">
        <v>4</v>
      </c>
      <c r="M1041">
        <v>4</v>
      </c>
      <c r="N1041">
        <v>4</v>
      </c>
      <c r="O1041">
        <v>2</v>
      </c>
      <c r="P1041">
        <v>53.2</v>
      </c>
      <c r="Q1041">
        <v>28</v>
      </c>
      <c r="R1041">
        <v>28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28</v>
      </c>
      <c r="Z1041">
        <v>0</v>
      </c>
      <c r="AA1041">
        <v>0</v>
      </c>
      <c r="AC1041">
        <v>81.2</v>
      </c>
    </row>
    <row r="1042" spans="1:29">
      <c r="A1042">
        <v>1035</v>
      </c>
      <c r="B1042">
        <v>4054</v>
      </c>
      <c r="C1042" t="s">
        <v>2422</v>
      </c>
      <c r="D1042" t="s">
        <v>2423</v>
      </c>
      <c r="E1042" t="s">
        <v>79</v>
      </c>
      <c r="F1042" t="s">
        <v>2424</v>
      </c>
      <c r="G1042" t="str">
        <f>"00531778"</f>
        <v>00531778</v>
      </c>
      <c r="H1042">
        <v>30.2</v>
      </c>
      <c r="I1042">
        <v>10</v>
      </c>
      <c r="M1042">
        <v>0</v>
      </c>
      <c r="N1042">
        <v>4</v>
      </c>
      <c r="O1042">
        <v>0</v>
      </c>
      <c r="P1042">
        <v>44.2</v>
      </c>
      <c r="Q1042">
        <v>37</v>
      </c>
      <c r="R1042">
        <v>37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37</v>
      </c>
      <c r="Z1042">
        <v>0</v>
      </c>
      <c r="AA1042">
        <v>0</v>
      </c>
      <c r="AC1042">
        <v>81.2</v>
      </c>
    </row>
    <row r="1043" spans="1:29">
      <c r="A1043">
        <v>1036</v>
      </c>
      <c r="B1043">
        <v>4099</v>
      </c>
      <c r="C1043" t="s">
        <v>2425</v>
      </c>
      <c r="D1043" t="s">
        <v>784</v>
      </c>
      <c r="E1043" t="s">
        <v>89</v>
      </c>
      <c r="F1043" t="s">
        <v>2426</v>
      </c>
      <c r="G1043" t="str">
        <f>"00532512"</f>
        <v>00532512</v>
      </c>
      <c r="H1043">
        <v>14.2</v>
      </c>
      <c r="I1043">
        <v>0</v>
      </c>
      <c r="M1043">
        <v>0</v>
      </c>
      <c r="N1043">
        <v>4</v>
      </c>
      <c r="O1043">
        <v>0</v>
      </c>
      <c r="P1043">
        <v>18.2</v>
      </c>
      <c r="Q1043">
        <v>63</v>
      </c>
      <c r="R1043">
        <v>63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63</v>
      </c>
      <c r="Z1043">
        <v>0</v>
      </c>
      <c r="AA1043">
        <v>0</v>
      </c>
      <c r="AC1043">
        <v>81.2</v>
      </c>
    </row>
    <row r="1044" spans="1:29">
      <c r="A1044">
        <v>1037</v>
      </c>
      <c r="B1044">
        <v>3784</v>
      </c>
      <c r="C1044" t="s">
        <v>2427</v>
      </c>
      <c r="D1044" t="s">
        <v>52</v>
      </c>
      <c r="E1044" t="s">
        <v>79</v>
      </c>
      <c r="F1044" t="s">
        <v>2428</v>
      </c>
      <c r="G1044" t="str">
        <f>"00201953"</f>
        <v>00201953</v>
      </c>
      <c r="H1044">
        <v>40</v>
      </c>
      <c r="I1044">
        <v>0</v>
      </c>
      <c r="J1044">
        <v>8</v>
      </c>
      <c r="L1044">
        <v>4</v>
      </c>
      <c r="M1044">
        <v>12</v>
      </c>
      <c r="N1044">
        <v>4</v>
      </c>
      <c r="O1044">
        <v>2</v>
      </c>
      <c r="P1044">
        <v>58</v>
      </c>
      <c r="Q1044">
        <v>17</v>
      </c>
      <c r="R1044">
        <v>17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17</v>
      </c>
      <c r="Z1044">
        <v>6</v>
      </c>
      <c r="AA1044">
        <v>0</v>
      </c>
      <c r="AC1044">
        <v>81</v>
      </c>
    </row>
    <row r="1045" spans="1:29">
      <c r="A1045">
        <v>1038</v>
      </c>
      <c r="B1045">
        <v>242</v>
      </c>
      <c r="C1045" t="s">
        <v>888</v>
      </c>
      <c r="D1045" t="s">
        <v>35</v>
      </c>
      <c r="E1045" t="s">
        <v>32</v>
      </c>
      <c r="F1045" t="s">
        <v>2429</v>
      </c>
      <c r="G1045" t="str">
        <f>"00499925"</f>
        <v>00499925</v>
      </c>
      <c r="H1045">
        <v>20</v>
      </c>
      <c r="I1045">
        <v>0</v>
      </c>
      <c r="M1045">
        <v>0</v>
      </c>
      <c r="N1045">
        <v>4</v>
      </c>
      <c r="O1045">
        <v>0</v>
      </c>
      <c r="P1045">
        <v>24</v>
      </c>
      <c r="Q1045">
        <v>51</v>
      </c>
      <c r="R1045">
        <v>51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51</v>
      </c>
      <c r="Z1045">
        <v>6</v>
      </c>
      <c r="AA1045">
        <v>0</v>
      </c>
      <c r="AC1045">
        <v>81</v>
      </c>
    </row>
    <row r="1046" spans="1:29">
      <c r="A1046">
        <v>1039</v>
      </c>
      <c r="B1046">
        <v>3080</v>
      </c>
      <c r="C1046" t="s">
        <v>826</v>
      </c>
      <c r="D1046" t="s">
        <v>2430</v>
      </c>
      <c r="E1046" t="s">
        <v>89</v>
      </c>
      <c r="F1046" t="s">
        <v>2431</v>
      </c>
      <c r="G1046" t="str">
        <f>"00793445"</f>
        <v>00793445</v>
      </c>
      <c r="H1046">
        <v>72</v>
      </c>
      <c r="I1046">
        <v>0</v>
      </c>
      <c r="M1046">
        <v>0</v>
      </c>
      <c r="N1046">
        <v>4</v>
      </c>
      <c r="O1046">
        <v>2</v>
      </c>
      <c r="P1046">
        <v>78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3</v>
      </c>
      <c r="AA1046">
        <v>0</v>
      </c>
      <c r="AC1046">
        <v>81</v>
      </c>
    </row>
    <row r="1047" spans="1:29">
      <c r="A1047">
        <v>1040</v>
      </c>
      <c r="B1047">
        <v>760</v>
      </c>
      <c r="C1047" t="s">
        <v>2432</v>
      </c>
      <c r="D1047" t="s">
        <v>86</v>
      </c>
      <c r="E1047" t="s">
        <v>2433</v>
      </c>
      <c r="F1047" t="s">
        <v>2434</v>
      </c>
      <c r="G1047" t="str">
        <f>"201511023504"</f>
        <v>201511023504</v>
      </c>
      <c r="H1047">
        <v>36</v>
      </c>
      <c r="I1047">
        <v>10</v>
      </c>
      <c r="M1047">
        <v>0</v>
      </c>
      <c r="N1047">
        <v>4</v>
      </c>
      <c r="O1047">
        <v>2</v>
      </c>
      <c r="P1047">
        <v>52</v>
      </c>
      <c r="Q1047">
        <v>26</v>
      </c>
      <c r="R1047">
        <v>26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26</v>
      </c>
      <c r="Z1047">
        <v>3</v>
      </c>
      <c r="AA1047">
        <v>0</v>
      </c>
      <c r="AC1047">
        <v>81</v>
      </c>
    </row>
    <row r="1048" spans="1:29">
      <c r="A1048">
        <v>1041</v>
      </c>
      <c r="B1048">
        <v>4070</v>
      </c>
      <c r="C1048" t="s">
        <v>2435</v>
      </c>
      <c r="D1048" t="s">
        <v>145</v>
      </c>
      <c r="E1048" t="s">
        <v>15</v>
      </c>
      <c r="F1048" t="s">
        <v>2436</v>
      </c>
      <c r="G1048" t="str">
        <f>"00533135"</f>
        <v>00533135</v>
      </c>
      <c r="H1048">
        <v>36</v>
      </c>
      <c r="I1048">
        <v>0</v>
      </c>
      <c r="L1048">
        <v>4</v>
      </c>
      <c r="M1048">
        <v>4</v>
      </c>
      <c r="N1048">
        <v>4</v>
      </c>
      <c r="O1048">
        <v>2</v>
      </c>
      <c r="P1048">
        <v>46</v>
      </c>
      <c r="Q1048">
        <v>32</v>
      </c>
      <c r="R1048">
        <v>32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32</v>
      </c>
      <c r="Z1048">
        <v>3</v>
      </c>
      <c r="AA1048">
        <v>0</v>
      </c>
      <c r="AC1048">
        <v>81</v>
      </c>
    </row>
    <row r="1049" spans="1:29">
      <c r="A1049">
        <v>1042</v>
      </c>
      <c r="B1049">
        <v>3079</v>
      </c>
      <c r="C1049" t="s">
        <v>2437</v>
      </c>
      <c r="D1049" t="s">
        <v>2438</v>
      </c>
      <c r="E1049" t="s">
        <v>796</v>
      </c>
      <c r="F1049" t="s">
        <v>2439</v>
      </c>
      <c r="G1049" t="str">
        <f>"00161150"</f>
        <v>00161150</v>
      </c>
      <c r="H1049">
        <v>34</v>
      </c>
      <c r="I1049">
        <v>0</v>
      </c>
      <c r="L1049">
        <v>4</v>
      </c>
      <c r="M1049">
        <v>4</v>
      </c>
      <c r="N1049">
        <v>4</v>
      </c>
      <c r="O1049">
        <v>2</v>
      </c>
      <c r="P1049">
        <v>44</v>
      </c>
      <c r="Q1049">
        <v>34</v>
      </c>
      <c r="R1049">
        <v>34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34</v>
      </c>
      <c r="Z1049">
        <v>3</v>
      </c>
      <c r="AA1049">
        <v>0</v>
      </c>
      <c r="AC1049">
        <v>81</v>
      </c>
    </row>
    <row r="1050" spans="1:29">
      <c r="A1050">
        <v>1043</v>
      </c>
      <c r="B1050">
        <v>4344</v>
      </c>
      <c r="C1050" t="s">
        <v>2440</v>
      </c>
      <c r="D1050" t="s">
        <v>2441</v>
      </c>
      <c r="E1050" t="s">
        <v>36</v>
      </c>
      <c r="F1050" t="s">
        <v>2442</v>
      </c>
      <c r="G1050" t="str">
        <f>"00442291"</f>
        <v>00442291</v>
      </c>
      <c r="H1050">
        <v>36</v>
      </c>
      <c r="I1050">
        <v>0</v>
      </c>
      <c r="M1050">
        <v>0</v>
      </c>
      <c r="N1050">
        <v>4</v>
      </c>
      <c r="O1050">
        <v>2</v>
      </c>
      <c r="P1050">
        <v>42</v>
      </c>
      <c r="Q1050">
        <v>36</v>
      </c>
      <c r="R1050">
        <v>36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36</v>
      </c>
      <c r="Z1050">
        <v>3</v>
      </c>
      <c r="AA1050">
        <v>0</v>
      </c>
      <c r="AC1050">
        <v>81</v>
      </c>
    </row>
    <row r="1051" spans="1:29">
      <c r="A1051">
        <v>1044</v>
      </c>
      <c r="B1051">
        <v>407</v>
      </c>
      <c r="C1051" t="s">
        <v>1769</v>
      </c>
      <c r="D1051" t="s">
        <v>2014</v>
      </c>
      <c r="E1051" t="s">
        <v>79</v>
      </c>
      <c r="F1051" t="s">
        <v>2443</v>
      </c>
      <c r="G1051" t="str">
        <f>"00505227"</f>
        <v>00505227</v>
      </c>
      <c r="H1051">
        <v>36</v>
      </c>
      <c r="I1051">
        <v>10</v>
      </c>
      <c r="K1051">
        <v>6</v>
      </c>
      <c r="M1051">
        <v>6</v>
      </c>
      <c r="N1051">
        <v>4</v>
      </c>
      <c r="O1051">
        <v>2</v>
      </c>
      <c r="P1051">
        <v>58</v>
      </c>
      <c r="Q1051">
        <v>23</v>
      </c>
      <c r="R1051">
        <v>23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23</v>
      </c>
      <c r="Z1051">
        <v>0</v>
      </c>
      <c r="AA1051">
        <v>0</v>
      </c>
      <c r="AC1051">
        <v>81</v>
      </c>
    </row>
    <row r="1052" spans="1:29">
      <c r="A1052">
        <v>1045</v>
      </c>
      <c r="B1052">
        <v>4303</v>
      </c>
      <c r="C1052" t="s">
        <v>2444</v>
      </c>
      <c r="D1052" t="s">
        <v>2445</v>
      </c>
      <c r="E1052" t="s">
        <v>36</v>
      </c>
      <c r="F1052" t="s">
        <v>2446</v>
      </c>
      <c r="G1052" t="str">
        <f>"00530852"</f>
        <v>00530852</v>
      </c>
      <c r="H1052">
        <v>36</v>
      </c>
      <c r="I1052">
        <v>0</v>
      </c>
      <c r="J1052">
        <v>8</v>
      </c>
      <c r="M1052">
        <v>8</v>
      </c>
      <c r="N1052">
        <v>4</v>
      </c>
      <c r="O1052">
        <v>0</v>
      </c>
      <c r="P1052">
        <v>48</v>
      </c>
      <c r="Q1052">
        <v>33</v>
      </c>
      <c r="R1052">
        <v>33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33</v>
      </c>
      <c r="Z1052">
        <v>0</v>
      </c>
      <c r="AA1052">
        <v>0</v>
      </c>
      <c r="AC1052">
        <v>81</v>
      </c>
    </row>
    <row r="1053" spans="1:29">
      <c r="A1053">
        <v>1046</v>
      </c>
      <c r="B1053">
        <v>1882</v>
      </c>
      <c r="C1053" t="s">
        <v>2447</v>
      </c>
      <c r="D1053" t="s">
        <v>86</v>
      </c>
      <c r="E1053" t="s">
        <v>2448</v>
      </c>
      <c r="F1053" t="s">
        <v>2449</v>
      </c>
      <c r="G1053" t="str">
        <f>"00524143"</f>
        <v>00524143</v>
      </c>
      <c r="H1053">
        <v>26.92</v>
      </c>
      <c r="I1053">
        <v>10</v>
      </c>
      <c r="J1053">
        <v>8</v>
      </c>
      <c r="M1053">
        <v>8</v>
      </c>
      <c r="N1053">
        <v>4</v>
      </c>
      <c r="O1053">
        <v>2</v>
      </c>
      <c r="P1053">
        <v>50.92</v>
      </c>
      <c r="Q1053">
        <v>24</v>
      </c>
      <c r="R1053">
        <v>24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24</v>
      </c>
      <c r="Z1053">
        <v>6</v>
      </c>
      <c r="AA1053">
        <v>0</v>
      </c>
      <c r="AC1053">
        <v>80.92</v>
      </c>
    </row>
    <row r="1054" spans="1:29">
      <c r="A1054">
        <v>1047</v>
      </c>
      <c r="B1054">
        <v>662</v>
      </c>
      <c r="C1054" t="s">
        <v>2450</v>
      </c>
      <c r="D1054" t="s">
        <v>465</v>
      </c>
      <c r="E1054" t="s">
        <v>2451</v>
      </c>
      <c r="F1054" t="s">
        <v>2452</v>
      </c>
      <c r="G1054" t="str">
        <f>"00855094"</f>
        <v>00855094</v>
      </c>
      <c r="H1054">
        <v>28.8</v>
      </c>
      <c r="I1054">
        <v>0</v>
      </c>
      <c r="L1054">
        <v>4</v>
      </c>
      <c r="M1054">
        <v>4</v>
      </c>
      <c r="N1054">
        <v>4</v>
      </c>
      <c r="O1054">
        <v>2</v>
      </c>
      <c r="P1054">
        <v>38.799999999999997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6</v>
      </c>
      <c r="AA1054">
        <v>36</v>
      </c>
      <c r="AC1054">
        <v>80.8</v>
      </c>
    </row>
    <row r="1055" spans="1:29">
      <c r="A1055">
        <v>1048</v>
      </c>
      <c r="B1055">
        <v>666</v>
      </c>
      <c r="C1055" t="s">
        <v>2457</v>
      </c>
      <c r="D1055" t="s">
        <v>276</v>
      </c>
      <c r="E1055" t="s">
        <v>15</v>
      </c>
      <c r="F1055" t="s">
        <v>2458</v>
      </c>
      <c r="G1055" t="str">
        <f>"200912000272"</f>
        <v>200912000272</v>
      </c>
      <c r="H1055">
        <v>64.8</v>
      </c>
      <c r="I1055">
        <v>0</v>
      </c>
      <c r="L1055">
        <v>4</v>
      </c>
      <c r="M1055">
        <v>4</v>
      </c>
      <c r="N1055">
        <v>4</v>
      </c>
      <c r="O1055">
        <v>2</v>
      </c>
      <c r="P1055">
        <v>74.8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6</v>
      </c>
      <c r="AA1055">
        <v>0</v>
      </c>
      <c r="AC1055">
        <v>80.8</v>
      </c>
    </row>
    <row r="1056" spans="1:29">
      <c r="A1056">
        <v>1049</v>
      </c>
      <c r="B1056">
        <v>2718</v>
      </c>
      <c r="C1056" t="s">
        <v>2455</v>
      </c>
      <c r="D1056" t="s">
        <v>35</v>
      </c>
      <c r="E1056" t="s">
        <v>79</v>
      </c>
      <c r="F1056" t="s">
        <v>2456</v>
      </c>
      <c r="G1056" t="str">
        <f>"00171849"</f>
        <v>00171849</v>
      </c>
      <c r="H1056">
        <v>64.8</v>
      </c>
      <c r="I1056">
        <v>0</v>
      </c>
      <c r="L1056">
        <v>4</v>
      </c>
      <c r="M1056">
        <v>4</v>
      </c>
      <c r="N1056">
        <v>4</v>
      </c>
      <c r="O1056">
        <v>2</v>
      </c>
      <c r="P1056">
        <v>74.8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6</v>
      </c>
      <c r="AA1056">
        <v>0</v>
      </c>
      <c r="AC1056">
        <v>80.8</v>
      </c>
    </row>
    <row r="1057" spans="1:29">
      <c r="A1057">
        <v>1050</v>
      </c>
      <c r="B1057">
        <v>3628</v>
      </c>
      <c r="C1057" t="s">
        <v>2453</v>
      </c>
      <c r="D1057" t="s">
        <v>27</v>
      </c>
      <c r="E1057" t="s">
        <v>60</v>
      </c>
      <c r="F1057" t="s">
        <v>2454</v>
      </c>
      <c r="G1057" t="str">
        <f>"00862104"</f>
        <v>00862104</v>
      </c>
      <c r="H1057">
        <v>64.8</v>
      </c>
      <c r="I1057">
        <v>10</v>
      </c>
      <c r="M1057">
        <v>0</v>
      </c>
      <c r="N1057">
        <v>0</v>
      </c>
      <c r="O1057">
        <v>0</v>
      </c>
      <c r="P1057">
        <v>74.8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6</v>
      </c>
      <c r="AA1057">
        <v>0</v>
      </c>
      <c r="AC1057">
        <v>80.8</v>
      </c>
    </row>
    <row r="1058" spans="1:29">
      <c r="A1058">
        <v>1051</v>
      </c>
      <c r="B1058">
        <v>1206</v>
      </c>
      <c r="C1058" t="s">
        <v>2459</v>
      </c>
      <c r="D1058" t="s">
        <v>20</v>
      </c>
      <c r="E1058" t="s">
        <v>79</v>
      </c>
      <c r="F1058" t="s">
        <v>2460</v>
      </c>
      <c r="G1058" t="str">
        <f>"00512541"</f>
        <v>00512541</v>
      </c>
      <c r="H1058">
        <v>28.8</v>
      </c>
      <c r="I1058">
        <v>0</v>
      </c>
      <c r="M1058">
        <v>0</v>
      </c>
      <c r="N1058">
        <v>4</v>
      </c>
      <c r="O1058">
        <v>2</v>
      </c>
      <c r="P1058">
        <v>34.799999999999997</v>
      </c>
      <c r="Q1058">
        <v>43</v>
      </c>
      <c r="R1058">
        <v>43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43</v>
      </c>
      <c r="Z1058">
        <v>3</v>
      </c>
      <c r="AA1058">
        <v>0</v>
      </c>
      <c r="AC1058">
        <v>80.8</v>
      </c>
    </row>
    <row r="1059" spans="1:29">
      <c r="A1059">
        <v>1052</v>
      </c>
      <c r="B1059">
        <v>411</v>
      </c>
      <c r="C1059" t="s">
        <v>779</v>
      </c>
      <c r="D1059" t="s">
        <v>86</v>
      </c>
      <c r="E1059" t="s">
        <v>115</v>
      </c>
      <c r="F1059" t="s">
        <v>2461</v>
      </c>
      <c r="G1059" t="str">
        <f>"00842390"</f>
        <v>00842390</v>
      </c>
      <c r="H1059">
        <v>64.8</v>
      </c>
      <c r="I1059">
        <v>10</v>
      </c>
      <c r="M1059">
        <v>0</v>
      </c>
      <c r="N1059">
        <v>4</v>
      </c>
      <c r="O1059">
        <v>2</v>
      </c>
      <c r="P1059">
        <v>80.8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C1059">
        <v>80.8</v>
      </c>
    </row>
    <row r="1060" spans="1:29">
      <c r="A1060">
        <v>1053</v>
      </c>
      <c r="B1060">
        <v>198</v>
      </c>
      <c r="C1060" t="s">
        <v>2462</v>
      </c>
      <c r="D1060" t="s">
        <v>98</v>
      </c>
      <c r="E1060" t="s">
        <v>134</v>
      </c>
      <c r="F1060" t="s">
        <v>2463</v>
      </c>
      <c r="G1060" t="str">
        <f>"00224221"</f>
        <v>00224221</v>
      </c>
      <c r="H1060">
        <v>28.72</v>
      </c>
      <c r="I1060">
        <v>0</v>
      </c>
      <c r="L1060">
        <v>4</v>
      </c>
      <c r="M1060">
        <v>4</v>
      </c>
      <c r="N1060">
        <v>4</v>
      </c>
      <c r="O1060">
        <v>2</v>
      </c>
      <c r="P1060">
        <v>38.72</v>
      </c>
      <c r="Q1060">
        <v>39</v>
      </c>
      <c r="R1060">
        <v>39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39</v>
      </c>
      <c r="Z1060">
        <v>3</v>
      </c>
      <c r="AA1060">
        <v>0</v>
      </c>
      <c r="AC1060">
        <v>80.72</v>
      </c>
    </row>
    <row r="1061" spans="1:29">
      <c r="A1061">
        <v>1054</v>
      </c>
      <c r="B1061">
        <v>4458</v>
      </c>
      <c r="C1061" t="s">
        <v>2464</v>
      </c>
      <c r="D1061" t="s">
        <v>185</v>
      </c>
      <c r="E1061" t="s">
        <v>115</v>
      </c>
      <c r="F1061" t="s">
        <v>2465</v>
      </c>
      <c r="G1061" t="str">
        <f>"00253218"</f>
        <v>00253218</v>
      </c>
      <c r="H1061">
        <v>36.72</v>
      </c>
      <c r="I1061">
        <v>10</v>
      </c>
      <c r="M1061">
        <v>0</v>
      </c>
      <c r="N1061">
        <v>0</v>
      </c>
      <c r="O1061">
        <v>0</v>
      </c>
      <c r="P1061">
        <v>46.72</v>
      </c>
      <c r="Q1061">
        <v>34</v>
      </c>
      <c r="R1061">
        <v>34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34</v>
      </c>
      <c r="Z1061">
        <v>0</v>
      </c>
      <c r="AA1061">
        <v>0</v>
      </c>
      <c r="AC1061">
        <v>80.72</v>
      </c>
    </row>
    <row r="1062" spans="1:29">
      <c r="A1062">
        <v>1055</v>
      </c>
      <c r="B1062">
        <v>4849</v>
      </c>
      <c r="C1062" t="s">
        <v>2466</v>
      </c>
      <c r="D1062" t="s">
        <v>27</v>
      </c>
      <c r="E1062" t="s">
        <v>122</v>
      </c>
      <c r="F1062" t="s">
        <v>2467</v>
      </c>
      <c r="G1062" t="str">
        <f>"00441894"</f>
        <v>00441894</v>
      </c>
      <c r="H1062">
        <v>35.68</v>
      </c>
      <c r="I1062">
        <v>0</v>
      </c>
      <c r="M1062">
        <v>0</v>
      </c>
      <c r="N1062">
        <v>4</v>
      </c>
      <c r="O1062">
        <v>2</v>
      </c>
      <c r="P1062">
        <v>41.68</v>
      </c>
      <c r="Q1062">
        <v>33</v>
      </c>
      <c r="R1062">
        <v>33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33</v>
      </c>
      <c r="Z1062">
        <v>6</v>
      </c>
      <c r="AA1062">
        <v>0</v>
      </c>
      <c r="AC1062">
        <v>80.680000000000007</v>
      </c>
    </row>
    <row r="1063" spans="1:29">
      <c r="A1063">
        <v>1056</v>
      </c>
      <c r="B1063">
        <v>317</v>
      </c>
      <c r="C1063" t="s">
        <v>2468</v>
      </c>
      <c r="D1063" t="s">
        <v>448</v>
      </c>
      <c r="E1063" t="s">
        <v>1020</v>
      </c>
      <c r="F1063" t="s">
        <v>2469</v>
      </c>
      <c r="G1063" t="str">
        <f>"00481135"</f>
        <v>00481135</v>
      </c>
      <c r="H1063">
        <v>31.68</v>
      </c>
      <c r="I1063">
        <v>10</v>
      </c>
      <c r="M1063">
        <v>0</v>
      </c>
      <c r="N1063">
        <v>0</v>
      </c>
      <c r="O1063">
        <v>0</v>
      </c>
      <c r="P1063">
        <v>41.68</v>
      </c>
      <c r="Q1063">
        <v>33</v>
      </c>
      <c r="R1063">
        <v>33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33</v>
      </c>
      <c r="Z1063">
        <v>6</v>
      </c>
      <c r="AA1063">
        <v>0</v>
      </c>
      <c r="AC1063">
        <v>80.680000000000007</v>
      </c>
    </row>
    <row r="1064" spans="1:29">
      <c r="A1064">
        <v>1057</v>
      </c>
      <c r="B1064">
        <v>731</v>
      </c>
      <c r="C1064" t="s">
        <v>2470</v>
      </c>
      <c r="D1064" t="s">
        <v>557</v>
      </c>
      <c r="E1064" t="s">
        <v>15</v>
      </c>
      <c r="F1064" t="s">
        <v>2471</v>
      </c>
      <c r="G1064" t="str">
        <f>"20160706582"</f>
        <v>20160706582</v>
      </c>
      <c r="H1064">
        <v>27.64</v>
      </c>
      <c r="I1064">
        <v>0</v>
      </c>
      <c r="M1064">
        <v>0</v>
      </c>
      <c r="N1064">
        <v>4</v>
      </c>
      <c r="O1064">
        <v>2</v>
      </c>
      <c r="P1064">
        <v>33.64</v>
      </c>
      <c r="Q1064">
        <v>47</v>
      </c>
      <c r="R1064">
        <v>47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47</v>
      </c>
      <c r="Z1064">
        <v>0</v>
      </c>
      <c r="AA1064">
        <v>0</v>
      </c>
      <c r="AC1064">
        <v>80.64</v>
      </c>
    </row>
    <row r="1065" spans="1:29">
      <c r="A1065">
        <v>1058</v>
      </c>
      <c r="B1065">
        <v>2458</v>
      </c>
      <c r="C1065" t="s">
        <v>2472</v>
      </c>
      <c r="D1065" t="s">
        <v>2473</v>
      </c>
      <c r="E1065" t="s">
        <v>66</v>
      </c>
      <c r="F1065" t="s">
        <v>2474</v>
      </c>
      <c r="G1065" t="str">
        <f>"00582094"</f>
        <v>00582094</v>
      </c>
      <c r="H1065">
        <v>57.6</v>
      </c>
      <c r="I1065">
        <v>0</v>
      </c>
      <c r="J1065">
        <v>8</v>
      </c>
      <c r="M1065">
        <v>8</v>
      </c>
      <c r="N1065">
        <v>4</v>
      </c>
      <c r="O1065">
        <v>2</v>
      </c>
      <c r="P1065">
        <v>71.599999999999994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9</v>
      </c>
      <c r="AA1065">
        <v>0</v>
      </c>
      <c r="AC1065">
        <v>80.599999999999994</v>
      </c>
    </row>
    <row r="1066" spans="1:29">
      <c r="A1066">
        <v>1059</v>
      </c>
      <c r="B1066">
        <v>4495</v>
      </c>
      <c r="C1066" t="s">
        <v>2475</v>
      </c>
      <c r="D1066" t="s">
        <v>2476</v>
      </c>
      <c r="E1066" t="s">
        <v>50</v>
      </c>
      <c r="F1066" t="s">
        <v>2477</v>
      </c>
      <c r="G1066" t="str">
        <f>"00860836"</f>
        <v>00860836</v>
      </c>
      <c r="H1066">
        <v>57.6</v>
      </c>
      <c r="I1066">
        <v>10</v>
      </c>
      <c r="L1066">
        <v>4</v>
      </c>
      <c r="M1066">
        <v>4</v>
      </c>
      <c r="N1066">
        <v>4</v>
      </c>
      <c r="O1066">
        <v>2</v>
      </c>
      <c r="P1066">
        <v>77.599999999999994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3</v>
      </c>
      <c r="AA1066">
        <v>0</v>
      </c>
      <c r="AC1066">
        <v>80.599999999999994</v>
      </c>
    </row>
    <row r="1067" spans="1:29">
      <c r="A1067">
        <v>1060</v>
      </c>
      <c r="B1067">
        <v>2229</v>
      </c>
      <c r="C1067" t="s">
        <v>2478</v>
      </c>
      <c r="D1067" t="s">
        <v>2479</v>
      </c>
      <c r="E1067" t="s">
        <v>2480</v>
      </c>
      <c r="F1067" t="s">
        <v>2481</v>
      </c>
      <c r="G1067" t="str">
        <f>"00549257"</f>
        <v>00549257</v>
      </c>
      <c r="H1067">
        <v>57.6</v>
      </c>
      <c r="I1067">
        <v>0</v>
      </c>
      <c r="J1067">
        <v>8</v>
      </c>
      <c r="K1067">
        <v>6</v>
      </c>
      <c r="M1067">
        <v>14</v>
      </c>
      <c r="N1067">
        <v>4</v>
      </c>
      <c r="O1067">
        <v>2</v>
      </c>
      <c r="P1067">
        <v>77.599999999999994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3</v>
      </c>
      <c r="AA1067">
        <v>0</v>
      </c>
      <c r="AC1067">
        <v>80.599999999999994</v>
      </c>
    </row>
    <row r="1068" spans="1:29">
      <c r="A1068">
        <v>1061</v>
      </c>
      <c r="B1068">
        <v>3710</v>
      </c>
      <c r="C1068" t="s">
        <v>1086</v>
      </c>
      <c r="D1068" t="s">
        <v>52</v>
      </c>
      <c r="E1068" t="s">
        <v>89</v>
      </c>
      <c r="F1068" t="s">
        <v>2482</v>
      </c>
      <c r="G1068" t="str">
        <f>"00491646"</f>
        <v>00491646</v>
      </c>
      <c r="H1068">
        <v>57.6</v>
      </c>
      <c r="I1068">
        <v>0</v>
      </c>
      <c r="L1068">
        <v>4</v>
      </c>
      <c r="M1068">
        <v>4</v>
      </c>
      <c r="N1068">
        <v>4</v>
      </c>
      <c r="O1068">
        <v>2</v>
      </c>
      <c r="P1068">
        <v>67.599999999999994</v>
      </c>
      <c r="Q1068">
        <v>10</v>
      </c>
      <c r="R1068">
        <v>10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10</v>
      </c>
      <c r="Z1068">
        <v>3</v>
      </c>
      <c r="AA1068">
        <v>0</v>
      </c>
      <c r="AC1068">
        <v>80.599999999999994</v>
      </c>
    </row>
    <row r="1069" spans="1:29">
      <c r="A1069">
        <v>1062</v>
      </c>
      <c r="B1069">
        <v>887</v>
      </c>
      <c r="C1069" t="s">
        <v>2483</v>
      </c>
      <c r="D1069" t="s">
        <v>52</v>
      </c>
      <c r="E1069" t="s">
        <v>134</v>
      </c>
      <c r="F1069" t="s">
        <v>2484</v>
      </c>
      <c r="G1069" t="str">
        <f>"00493853"</f>
        <v>00493853</v>
      </c>
      <c r="H1069">
        <v>21.6</v>
      </c>
      <c r="I1069">
        <v>0</v>
      </c>
      <c r="L1069">
        <v>4</v>
      </c>
      <c r="M1069">
        <v>4</v>
      </c>
      <c r="N1069">
        <v>4</v>
      </c>
      <c r="O1069">
        <v>0</v>
      </c>
      <c r="P1069">
        <v>29.6</v>
      </c>
      <c r="Q1069">
        <v>51</v>
      </c>
      <c r="R1069">
        <v>51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51</v>
      </c>
      <c r="Z1069">
        <v>0</v>
      </c>
      <c r="AA1069">
        <v>0</v>
      </c>
      <c r="AC1069">
        <v>80.599999999999994</v>
      </c>
    </row>
    <row r="1070" spans="1:29">
      <c r="A1070">
        <v>1063</v>
      </c>
      <c r="B1070">
        <v>4392</v>
      </c>
      <c r="C1070" t="s">
        <v>2485</v>
      </c>
      <c r="D1070" t="s">
        <v>251</v>
      </c>
      <c r="E1070" t="s">
        <v>66</v>
      </c>
      <c r="F1070" t="s">
        <v>2486</v>
      </c>
      <c r="G1070" t="str">
        <f>"00480862"</f>
        <v>00480862</v>
      </c>
      <c r="H1070">
        <v>50.4</v>
      </c>
      <c r="I1070">
        <v>10</v>
      </c>
      <c r="M1070">
        <v>0</v>
      </c>
      <c r="N1070">
        <v>4</v>
      </c>
      <c r="O1070">
        <v>0</v>
      </c>
      <c r="P1070">
        <v>64.400000000000006</v>
      </c>
      <c r="Q1070">
        <v>16</v>
      </c>
      <c r="R1070">
        <v>16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16</v>
      </c>
      <c r="Z1070">
        <v>0</v>
      </c>
      <c r="AA1070">
        <v>0</v>
      </c>
      <c r="AC1070">
        <v>80.400000000000006</v>
      </c>
    </row>
    <row r="1071" spans="1:29">
      <c r="A1071">
        <v>1064</v>
      </c>
      <c r="B1071">
        <v>1329</v>
      </c>
      <c r="C1071" t="s">
        <v>2330</v>
      </c>
      <c r="D1071" t="s">
        <v>2487</v>
      </c>
      <c r="E1071" t="s">
        <v>66</v>
      </c>
      <c r="F1071" t="s">
        <v>2488</v>
      </c>
      <c r="G1071" t="str">
        <f>"00441891"</f>
        <v>00441891</v>
      </c>
      <c r="H1071">
        <v>14.4</v>
      </c>
      <c r="I1071">
        <v>10</v>
      </c>
      <c r="M1071">
        <v>0</v>
      </c>
      <c r="N1071">
        <v>0</v>
      </c>
      <c r="O1071">
        <v>2</v>
      </c>
      <c r="P1071">
        <v>26.4</v>
      </c>
      <c r="Q1071">
        <v>54</v>
      </c>
      <c r="R1071">
        <v>54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54</v>
      </c>
      <c r="Z1071">
        <v>0</v>
      </c>
      <c r="AA1071">
        <v>0</v>
      </c>
      <c r="AC1071">
        <v>80.400000000000006</v>
      </c>
    </row>
    <row r="1072" spans="1:29">
      <c r="A1072">
        <v>1065</v>
      </c>
      <c r="B1072">
        <v>2577</v>
      </c>
      <c r="C1072" t="s">
        <v>1605</v>
      </c>
      <c r="D1072" t="s">
        <v>248</v>
      </c>
      <c r="E1072" t="s">
        <v>369</v>
      </c>
      <c r="F1072" t="s">
        <v>2489</v>
      </c>
      <c r="G1072" t="str">
        <f>"00530680"</f>
        <v>00530680</v>
      </c>
      <c r="H1072">
        <v>43.2</v>
      </c>
      <c r="I1072">
        <v>0</v>
      </c>
      <c r="J1072">
        <v>8</v>
      </c>
      <c r="M1072">
        <v>8</v>
      </c>
      <c r="N1072">
        <v>4</v>
      </c>
      <c r="O1072">
        <v>2</v>
      </c>
      <c r="P1072">
        <v>57.2</v>
      </c>
      <c r="Q1072">
        <v>23</v>
      </c>
      <c r="R1072">
        <v>23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23</v>
      </c>
      <c r="Z1072">
        <v>0</v>
      </c>
      <c r="AA1072">
        <v>0</v>
      </c>
      <c r="AC1072">
        <v>80.2</v>
      </c>
    </row>
    <row r="1073" spans="1:29">
      <c r="A1073">
        <v>1066</v>
      </c>
      <c r="B1073">
        <v>1916</v>
      </c>
      <c r="C1073" t="s">
        <v>2490</v>
      </c>
      <c r="D1073" t="s">
        <v>27</v>
      </c>
      <c r="E1073" t="s">
        <v>36</v>
      </c>
      <c r="F1073" t="s">
        <v>2491</v>
      </c>
      <c r="G1073" t="str">
        <f>"00531420"</f>
        <v>00531420</v>
      </c>
      <c r="H1073">
        <v>7.2</v>
      </c>
      <c r="I1073">
        <v>10</v>
      </c>
      <c r="L1073">
        <v>4</v>
      </c>
      <c r="M1073">
        <v>4</v>
      </c>
      <c r="N1073">
        <v>4</v>
      </c>
      <c r="O1073">
        <v>0</v>
      </c>
      <c r="P1073">
        <v>25.2</v>
      </c>
      <c r="Q1073">
        <v>55</v>
      </c>
      <c r="R1073">
        <v>55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55</v>
      </c>
      <c r="Z1073">
        <v>0</v>
      </c>
      <c r="AA1073">
        <v>0</v>
      </c>
      <c r="AC1073">
        <v>80.2</v>
      </c>
    </row>
    <row r="1074" spans="1:29">
      <c r="A1074">
        <v>1067</v>
      </c>
      <c r="B1074">
        <v>1463</v>
      </c>
      <c r="C1074" t="s">
        <v>2492</v>
      </c>
      <c r="D1074" t="s">
        <v>39</v>
      </c>
      <c r="E1074" t="s">
        <v>156</v>
      </c>
      <c r="F1074" t="s">
        <v>2493</v>
      </c>
      <c r="G1074" t="str">
        <f>"00531575"</f>
        <v>00531575</v>
      </c>
      <c r="H1074">
        <v>25.16</v>
      </c>
      <c r="I1074">
        <v>0</v>
      </c>
      <c r="M1074">
        <v>0</v>
      </c>
      <c r="N1074">
        <v>0</v>
      </c>
      <c r="O1074">
        <v>0</v>
      </c>
      <c r="P1074">
        <v>25.16</v>
      </c>
      <c r="Q1074">
        <v>10</v>
      </c>
      <c r="R1074">
        <v>10</v>
      </c>
      <c r="S1074">
        <v>18</v>
      </c>
      <c r="T1074">
        <v>36</v>
      </c>
      <c r="U1074">
        <v>0</v>
      </c>
      <c r="V1074">
        <v>0</v>
      </c>
      <c r="W1074">
        <v>0</v>
      </c>
      <c r="X1074">
        <v>0</v>
      </c>
      <c r="Y1074">
        <v>46</v>
      </c>
      <c r="Z1074">
        <v>9</v>
      </c>
      <c r="AA1074">
        <v>0</v>
      </c>
      <c r="AC1074">
        <v>80.16</v>
      </c>
    </row>
    <row r="1075" spans="1:29">
      <c r="A1075">
        <v>1068</v>
      </c>
      <c r="B1075">
        <v>1702</v>
      </c>
      <c r="C1075" t="s">
        <v>2494</v>
      </c>
      <c r="D1075" t="s">
        <v>145</v>
      </c>
      <c r="E1075" t="s">
        <v>79</v>
      </c>
      <c r="F1075" t="s">
        <v>2495</v>
      </c>
      <c r="G1075" t="str">
        <f>"00514941"</f>
        <v>00514941</v>
      </c>
      <c r="H1075">
        <v>34.159999999999997</v>
      </c>
      <c r="I1075">
        <v>0</v>
      </c>
      <c r="L1075">
        <v>4</v>
      </c>
      <c r="M1075">
        <v>4</v>
      </c>
      <c r="N1075">
        <v>0</v>
      </c>
      <c r="O1075">
        <v>0</v>
      </c>
      <c r="P1075">
        <v>38.159999999999997</v>
      </c>
      <c r="Q1075">
        <v>39</v>
      </c>
      <c r="R1075">
        <v>39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39</v>
      </c>
      <c r="Z1075">
        <v>3</v>
      </c>
      <c r="AA1075">
        <v>0</v>
      </c>
      <c r="AC1075">
        <v>80.16</v>
      </c>
    </row>
    <row r="1076" spans="1:29">
      <c r="A1076">
        <v>1069</v>
      </c>
      <c r="B1076">
        <v>4912</v>
      </c>
      <c r="C1076" t="s">
        <v>2496</v>
      </c>
      <c r="D1076" t="s">
        <v>86</v>
      </c>
      <c r="E1076" t="s">
        <v>889</v>
      </c>
      <c r="F1076" t="s">
        <v>2497</v>
      </c>
      <c r="G1076" t="str">
        <f>"00530707"</f>
        <v>00530707</v>
      </c>
      <c r="H1076">
        <v>43.2</v>
      </c>
      <c r="I1076">
        <v>0</v>
      </c>
      <c r="L1076">
        <v>4</v>
      </c>
      <c r="M1076">
        <v>4</v>
      </c>
      <c r="N1076">
        <v>0</v>
      </c>
      <c r="O1076">
        <v>0</v>
      </c>
      <c r="P1076">
        <v>47.2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6</v>
      </c>
      <c r="AA1076">
        <v>26.8</v>
      </c>
      <c r="AC1076">
        <v>80</v>
      </c>
    </row>
    <row r="1077" spans="1:29">
      <c r="A1077">
        <v>1070</v>
      </c>
      <c r="B1077">
        <v>4582</v>
      </c>
      <c r="C1077" t="s">
        <v>2498</v>
      </c>
      <c r="D1077" t="s">
        <v>164</v>
      </c>
      <c r="E1077" t="s">
        <v>60</v>
      </c>
      <c r="F1077" t="s">
        <v>2499</v>
      </c>
      <c r="G1077" t="str">
        <f>"200806000352"</f>
        <v>200806000352</v>
      </c>
      <c r="H1077">
        <v>36</v>
      </c>
      <c r="I1077">
        <v>0</v>
      </c>
      <c r="L1077">
        <v>4</v>
      </c>
      <c r="M1077">
        <v>4</v>
      </c>
      <c r="N1077">
        <v>4</v>
      </c>
      <c r="O1077">
        <v>2</v>
      </c>
      <c r="P1077">
        <v>46</v>
      </c>
      <c r="Q1077">
        <v>28</v>
      </c>
      <c r="R1077">
        <v>28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28</v>
      </c>
      <c r="Z1077">
        <v>6</v>
      </c>
      <c r="AA1077">
        <v>0</v>
      </c>
      <c r="AC1077">
        <v>80</v>
      </c>
    </row>
    <row r="1078" spans="1:29">
      <c r="A1078">
        <v>1071</v>
      </c>
      <c r="B1078">
        <v>1687</v>
      </c>
      <c r="C1078" t="s">
        <v>2500</v>
      </c>
      <c r="D1078" t="s">
        <v>510</v>
      </c>
      <c r="E1078" t="s">
        <v>15</v>
      </c>
      <c r="F1078" t="s">
        <v>2501</v>
      </c>
      <c r="G1078" t="str">
        <f>"00501344"</f>
        <v>00501344</v>
      </c>
      <c r="H1078">
        <v>36</v>
      </c>
      <c r="I1078">
        <v>0</v>
      </c>
      <c r="J1078">
        <v>8</v>
      </c>
      <c r="M1078">
        <v>8</v>
      </c>
      <c r="N1078">
        <v>4</v>
      </c>
      <c r="O1078">
        <v>2</v>
      </c>
      <c r="P1078">
        <v>50</v>
      </c>
      <c r="Q1078">
        <v>27</v>
      </c>
      <c r="R1078">
        <v>27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27</v>
      </c>
      <c r="Z1078">
        <v>3</v>
      </c>
      <c r="AA1078">
        <v>0</v>
      </c>
      <c r="AC1078">
        <v>80</v>
      </c>
    </row>
    <row r="1079" spans="1:29">
      <c r="A1079">
        <v>1072</v>
      </c>
      <c r="B1079">
        <v>1426</v>
      </c>
      <c r="C1079" t="s">
        <v>2502</v>
      </c>
      <c r="D1079" t="s">
        <v>27</v>
      </c>
      <c r="E1079" t="s">
        <v>292</v>
      </c>
      <c r="F1079" t="s">
        <v>2503</v>
      </c>
      <c r="G1079" t="str">
        <f>"00441741"</f>
        <v>00441741</v>
      </c>
      <c r="H1079">
        <v>24</v>
      </c>
      <c r="I1079">
        <v>10</v>
      </c>
      <c r="J1079">
        <v>8</v>
      </c>
      <c r="M1079">
        <v>8</v>
      </c>
      <c r="N1079">
        <v>4</v>
      </c>
      <c r="O1079">
        <v>0</v>
      </c>
      <c r="P1079">
        <v>46</v>
      </c>
      <c r="Q1079">
        <v>31</v>
      </c>
      <c r="R1079">
        <v>31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31</v>
      </c>
      <c r="Z1079">
        <v>3</v>
      </c>
      <c r="AA1079">
        <v>0</v>
      </c>
      <c r="AC1079">
        <v>80</v>
      </c>
    </row>
    <row r="1080" spans="1:29">
      <c r="A1080">
        <v>1073</v>
      </c>
      <c r="B1080">
        <v>3849</v>
      </c>
      <c r="C1080" t="s">
        <v>2506</v>
      </c>
      <c r="D1080" t="s">
        <v>544</v>
      </c>
      <c r="E1080" t="s">
        <v>168</v>
      </c>
      <c r="F1080" t="s">
        <v>2507</v>
      </c>
      <c r="G1080" t="str">
        <f>"00554525"</f>
        <v>00554525</v>
      </c>
      <c r="H1080">
        <v>72</v>
      </c>
      <c r="I1080">
        <v>0</v>
      </c>
      <c r="L1080">
        <v>4</v>
      </c>
      <c r="M1080">
        <v>4</v>
      </c>
      <c r="N1080">
        <v>4</v>
      </c>
      <c r="O1080">
        <v>0</v>
      </c>
      <c r="P1080">
        <v>80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C1080">
        <v>80</v>
      </c>
    </row>
    <row r="1081" spans="1:29">
      <c r="A1081">
        <v>1074</v>
      </c>
      <c r="B1081">
        <v>4687</v>
      </c>
      <c r="C1081" t="s">
        <v>2504</v>
      </c>
      <c r="D1081" t="s">
        <v>20</v>
      </c>
      <c r="E1081" t="s">
        <v>32</v>
      </c>
      <c r="F1081" t="s">
        <v>2505</v>
      </c>
      <c r="G1081" t="str">
        <f>"201511039661"</f>
        <v>201511039661</v>
      </c>
      <c r="H1081">
        <v>72</v>
      </c>
      <c r="I1081">
        <v>0</v>
      </c>
      <c r="L1081">
        <v>4</v>
      </c>
      <c r="M1081">
        <v>4</v>
      </c>
      <c r="N1081">
        <v>4</v>
      </c>
      <c r="O1081">
        <v>0</v>
      </c>
      <c r="P1081">
        <v>80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C1081">
        <v>80</v>
      </c>
    </row>
    <row r="1082" spans="1:29">
      <c r="A1082">
        <v>1075</v>
      </c>
      <c r="B1082">
        <v>1762</v>
      </c>
      <c r="C1082" t="s">
        <v>2411</v>
      </c>
      <c r="D1082" t="s">
        <v>147</v>
      </c>
      <c r="E1082" t="s">
        <v>79</v>
      </c>
      <c r="F1082" t="s">
        <v>2508</v>
      </c>
      <c r="G1082" t="str">
        <f>"00512187"</f>
        <v>00512187</v>
      </c>
      <c r="H1082">
        <v>72</v>
      </c>
      <c r="I1082">
        <v>0</v>
      </c>
      <c r="L1082">
        <v>4</v>
      </c>
      <c r="M1082">
        <v>4</v>
      </c>
      <c r="N1082">
        <v>4</v>
      </c>
      <c r="O1082">
        <v>0</v>
      </c>
      <c r="P1082">
        <v>80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C1082">
        <v>80</v>
      </c>
    </row>
    <row r="1083" spans="1:29">
      <c r="A1083">
        <v>1076</v>
      </c>
      <c r="B1083">
        <v>3547</v>
      </c>
      <c r="C1083" t="s">
        <v>2509</v>
      </c>
      <c r="D1083" t="s">
        <v>52</v>
      </c>
      <c r="E1083" t="s">
        <v>60</v>
      </c>
      <c r="F1083" t="s">
        <v>2510</v>
      </c>
      <c r="G1083" t="str">
        <f>"00156888"</f>
        <v>00156888</v>
      </c>
      <c r="H1083">
        <v>40</v>
      </c>
      <c r="I1083">
        <v>10</v>
      </c>
      <c r="K1083">
        <v>6</v>
      </c>
      <c r="M1083">
        <v>6</v>
      </c>
      <c r="N1083">
        <v>4</v>
      </c>
      <c r="O1083">
        <v>2</v>
      </c>
      <c r="P1083">
        <v>62</v>
      </c>
      <c r="Q1083">
        <v>18</v>
      </c>
      <c r="R1083">
        <v>18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18</v>
      </c>
      <c r="Z1083">
        <v>0</v>
      </c>
      <c r="AA1083">
        <v>0</v>
      </c>
      <c r="AC1083">
        <v>80</v>
      </c>
    </row>
    <row r="1084" spans="1:29">
      <c r="A1084">
        <v>1077</v>
      </c>
      <c r="B1084">
        <v>3690</v>
      </c>
      <c r="C1084" t="s">
        <v>2511</v>
      </c>
      <c r="D1084" t="s">
        <v>31</v>
      </c>
      <c r="E1084" t="s">
        <v>60</v>
      </c>
      <c r="F1084" t="s">
        <v>2512</v>
      </c>
      <c r="G1084" t="str">
        <f>"00170691"</f>
        <v>00170691</v>
      </c>
      <c r="H1084">
        <v>36</v>
      </c>
      <c r="I1084">
        <v>0</v>
      </c>
      <c r="L1084">
        <v>4</v>
      </c>
      <c r="M1084">
        <v>4</v>
      </c>
      <c r="N1084">
        <v>4</v>
      </c>
      <c r="O1084">
        <v>2</v>
      </c>
      <c r="P1084">
        <v>46</v>
      </c>
      <c r="Q1084">
        <v>34</v>
      </c>
      <c r="R1084">
        <v>34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34</v>
      </c>
      <c r="Z1084">
        <v>0</v>
      </c>
      <c r="AA1084">
        <v>0</v>
      </c>
      <c r="AC1084">
        <v>80</v>
      </c>
    </row>
    <row r="1085" spans="1:29">
      <c r="A1085">
        <v>1078</v>
      </c>
      <c r="B1085">
        <v>169</v>
      </c>
      <c r="C1085" t="s">
        <v>112</v>
      </c>
      <c r="D1085" t="s">
        <v>2513</v>
      </c>
      <c r="E1085" t="s">
        <v>436</v>
      </c>
      <c r="F1085" t="s">
        <v>2514</v>
      </c>
      <c r="G1085" t="str">
        <f>"00459708"</f>
        <v>00459708</v>
      </c>
      <c r="H1085">
        <v>36</v>
      </c>
      <c r="I1085">
        <v>0</v>
      </c>
      <c r="L1085">
        <v>4</v>
      </c>
      <c r="M1085">
        <v>4</v>
      </c>
      <c r="N1085">
        <v>4</v>
      </c>
      <c r="O1085">
        <v>2</v>
      </c>
      <c r="P1085">
        <v>46</v>
      </c>
      <c r="Q1085">
        <v>34</v>
      </c>
      <c r="R1085">
        <v>34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34</v>
      </c>
      <c r="Z1085">
        <v>0</v>
      </c>
      <c r="AA1085">
        <v>0</v>
      </c>
      <c r="AC1085">
        <v>80</v>
      </c>
    </row>
    <row r="1086" spans="1:29">
      <c r="A1086">
        <v>1079</v>
      </c>
      <c r="B1086">
        <v>3268</v>
      </c>
      <c r="C1086" t="s">
        <v>2515</v>
      </c>
      <c r="D1086" t="s">
        <v>2516</v>
      </c>
      <c r="E1086" t="s">
        <v>165</v>
      </c>
      <c r="F1086" t="s">
        <v>2517</v>
      </c>
      <c r="G1086" t="str">
        <f>"00442362"</f>
        <v>00442362</v>
      </c>
      <c r="H1086">
        <v>36</v>
      </c>
      <c r="I1086">
        <v>0</v>
      </c>
      <c r="L1086">
        <v>4</v>
      </c>
      <c r="M1086">
        <v>4</v>
      </c>
      <c r="N1086">
        <v>4</v>
      </c>
      <c r="O1086">
        <v>0</v>
      </c>
      <c r="P1086">
        <v>44</v>
      </c>
      <c r="Q1086">
        <v>36</v>
      </c>
      <c r="R1086">
        <v>36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36</v>
      </c>
      <c r="Z1086">
        <v>0</v>
      </c>
      <c r="AA1086">
        <v>0</v>
      </c>
      <c r="AC1086">
        <v>80</v>
      </c>
    </row>
    <row r="1087" spans="1:29">
      <c r="A1087">
        <v>1080</v>
      </c>
      <c r="B1087">
        <v>3150</v>
      </c>
      <c r="C1087" t="s">
        <v>2518</v>
      </c>
      <c r="D1087" t="s">
        <v>24</v>
      </c>
      <c r="E1087" t="s">
        <v>2519</v>
      </c>
      <c r="F1087" t="s">
        <v>2520</v>
      </c>
      <c r="G1087" t="str">
        <f>"00530740"</f>
        <v>00530740</v>
      </c>
      <c r="H1087">
        <v>24</v>
      </c>
      <c r="I1087">
        <v>0</v>
      </c>
      <c r="M1087">
        <v>0</v>
      </c>
      <c r="N1087">
        <v>0</v>
      </c>
      <c r="O1087">
        <v>2</v>
      </c>
      <c r="P1087">
        <v>26</v>
      </c>
      <c r="Q1087">
        <v>54</v>
      </c>
      <c r="R1087">
        <v>54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54</v>
      </c>
      <c r="Z1087">
        <v>0</v>
      </c>
      <c r="AA1087">
        <v>0</v>
      </c>
      <c r="AC1087">
        <v>80</v>
      </c>
    </row>
    <row r="1088" spans="1:29">
      <c r="A1088">
        <v>1081</v>
      </c>
      <c r="B1088">
        <v>1480</v>
      </c>
      <c r="C1088" t="s">
        <v>2521</v>
      </c>
      <c r="D1088" t="s">
        <v>31</v>
      </c>
      <c r="E1088" t="s">
        <v>237</v>
      </c>
      <c r="F1088" t="s">
        <v>2522</v>
      </c>
      <c r="G1088" t="str">
        <f>"00525570"</f>
        <v>00525570</v>
      </c>
      <c r="H1088">
        <v>26.84</v>
      </c>
      <c r="I1088">
        <v>0</v>
      </c>
      <c r="M1088">
        <v>0</v>
      </c>
      <c r="N1088">
        <v>0</v>
      </c>
      <c r="O1088">
        <v>0</v>
      </c>
      <c r="P1088">
        <v>26.84</v>
      </c>
      <c r="Q1088">
        <v>8</v>
      </c>
      <c r="R1088">
        <v>8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8</v>
      </c>
      <c r="Z1088">
        <v>9</v>
      </c>
      <c r="AA1088">
        <v>36</v>
      </c>
      <c r="AC1088">
        <v>79.84</v>
      </c>
    </row>
    <row r="1089" spans="1:29">
      <c r="A1089">
        <v>1082</v>
      </c>
      <c r="B1089">
        <v>2340</v>
      </c>
      <c r="C1089" t="s">
        <v>2525</v>
      </c>
      <c r="D1089" t="s">
        <v>52</v>
      </c>
      <c r="E1089" t="s">
        <v>814</v>
      </c>
      <c r="F1089" t="s">
        <v>2526</v>
      </c>
      <c r="G1089" t="str">
        <f>"00501770"</f>
        <v>00501770</v>
      </c>
      <c r="H1089">
        <v>28.8</v>
      </c>
      <c r="I1089">
        <v>0</v>
      </c>
      <c r="M1089">
        <v>0</v>
      </c>
      <c r="N1089">
        <v>4</v>
      </c>
      <c r="O1089">
        <v>2</v>
      </c>
      <c r="P1089">
        <v>34.799999999999997</v>
      </c>
      <c r="Q1089">
        <v>45</v>
      </c>
      <c r="R1089">
        <v>45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45</v>
      </c>
      <c r="Z1089">
        <v>0</v>
      </c>
      <c r="AA1089">
        <v>0</v>
      </c>
      <c r="AC1089">
        <v>79.8</v>
      </c>
    </row>
    <row r="1090" spans="1:29">
      <c r="A1090">
        <v>1083</v>
      </c>
      <c r="B1090">
        <v>3356</v>
      </c>
      <c r="C1090" t="s">
        <v>2523</v>
      </c>
      <c r="D1090" t="s">
        <v>2014</v>
      </c>
      <c r="E1090" t="s">
        <v>18</v>
      </c>
      <c r="F1090" t="s">
        <v>2524</v>
      </c>
      <c r="G1090" t="str">
        <f>"00532692"</f>
        <v>00532692</v>
      </c>
      <c r="H1090">
        <v>28.8</v>
      </c>
      <c r="I1090">
        <v>0</v>
      </c>
      <c r="M1090">
        <v>0</v>
      </c>
      <c r="N1090">
        <v>4</v>
      </c>
      <c r="O1090">
        <v>2</v>
      </c>
      <c r="P1090">
        <v>34.799999999999997</v>
      </c>
      <c r="Q1090">
        <v>45</v>
      </c>
      <c r="R1090">
        <v>45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45</v>
      </c>
      <c r="Z1090">
        <v>0</v>
      </c>
      <c r="AA1090">
        <v>0</v>
      </c>
      <c r="AC1090">
        <v>79.8</v>
      </c>
    </row>
    <row r="1091" spans="1:29">
      <c r="A1091">
        <v>1084</v>
      </c>
      <c r="B1091">
        <v>1185</v>
      </c>
      <c r="C1091" t="s">
        <v>2527</v>
      </c>
      <c r="D1091" t="s">
        <v>276</v>
      </c>
      <c r="E1091" t="s">
        <v>134</v>
      </c>
      <c r="F1091" t="s">
        <v>2528</v>
      </c>
      <c r="G1091" t="str">
        <f>"200801008679"</f>
        <v>200801008679</v>
      </c>
      <c r="H1091">
        <v>57.6</v>
      </c>
      <c r="I1091">
        <v>10</v>
      </c>
      <c r="M1091">
        <v>0</v>
      </c>
      <c r="N1091">
        <v>4</v>
      </c>
      <c r="O1091">
        <v>2</v>
      </c>
      <c r="P1091">
        <v>73.599999999999994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6</v>
      </c>
      <c r="AA1091">
        <v>0</v>
      </c>
      <c r="AC1091">
        <v>79.599999999999994</v>
      </c>
    </row>
    <row r="1092" spans="1:29">
      <c r="A1092">
        <v>1085</v>
      </c>
      <c r="B1092">
        <v>1614</v>
      </c>
      <c r="C1092" t="s">
        <v>2529</v>
      </c>
      <c r="D1092" t="s">
        <v>27</v>
      </c>
      <c r="E1092" t="s">
        <v>115</v>
      </c>
      <c r="F1092" t="s">
        <v>2530</v>
      </c>
      <c r="G1092" t="str">
        <f>"00161283"</f>
        <v>00161283</v>
      </c>
      <c r="H1092">
        <v>21.6</v>
      </c>
      <c r="I1092">
        <v>0</v>
      </c>
      <c r="M1092">
        <v>0</v>
      </c>
      <c r="N1092">
        <v>4</v>
      </c>
      <c r="O1092">
        <v>2</v>
      </c>
      <c r="P1092">
        <v>27.6</v>
      </c>
      <c r="Q1092">
        <v>46</v>
      </c>
      <c r="R1092">
        <v>46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46</v>
      </c>
      <c r="Z1092">
        <v>6</v>
      </c>
      <c r="AA1092">
        <v>0</v>
      </c>
      <c r="AC1092">
        <v>79.599999999999994</v>
      </c>
    </row>
    <row r="1093" spans="1:29">
      <c r="A1093">
        <v>1086</v>
      </c>
      <c r="B1093">
        <v>2396</v>
      </c>
      <c r="C1093" t="s">
        <v>2531</v>
      </c>
      <c r="D1093" t="s">
        <v>27</v>
      </c>
      <c r="E1093" t="s">
        <v>581</v>
      </c>
      <c r="F1093" t="s">
        <v>2532</v>
      </c>
      <c r="G1093" t="str">
        <f>"00533918"</f>
        <v>00533918</v>
      </c>
      <c r="H1093">
        <v>57.6</v>
      </c>
      <c r="I1093">
        <v>10</v>
      </c>
      <c r="K1093">
        <v>6</v>
      </c>
      <c r="M1093">
        <v>6</v>
      </c>
      <c r="N1093">
        <v>4</v>
      </c>
      <c r="O1093">
        <v>2</v>
      </c>
      <c r="P1093">
        <v>79.599999999999994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C1093">
        <v>79.599999999999994</v>
      </c>
    </row>
    <row r="1094" spans="1:29">
      <c r="A1094">
        <v>1087</v>
      </c>
      <c r="B1094">
        <v>2637</v>
      </c>
      <c r="C1094" t="s">
        <v>2533</v>
      </c>
      <c r="D1094" t="s">
        <v>952</v>
      </c>
      <c r="E1094" t="s">
        <v>156</v>
      </c>
      <c r="F1094" t="s">
        <v>2534</v>
      </c>
      <c r="G1094" t="str">
        <f>"00255363"</f>
        <v>00255363</v>
      </c>
      <c r="H1094">
        <v>57.6</v>
      </c>
      <c r="I1094">
        <v>0</v>
      </c>
      <c r="J1094">
        <v>16</v>
      </c>
      <c r="M1094">
        <v>16</v>
      </c>
      <c r="N1094">
        <v>4</v>
      </c>
      <c r="O1094">
        <v>2</v>
      </c>
      <c r="P1094">
        <v>79.599999999999994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C1094">
        <v>79.599999999999994</v>
      </c>
    </row>
    <row r="1095" spans="1:29">
      <c r="A1095">
        <v>1088</v>
      </c>
      <c r="B1095">
        <v>4189</v>
      </c>
      <c r="C1095" t="s">
        <v>2535</v>
      </c>
      <c r="D1095" t="s">
        <v>179</v>
      </c>
      <c r="E1095" t="s">
        <v>28</v>
      </c>
      <c r="F1095" t="s">
        <v>2536</v>
      </c>
      <c r="G1095" t="str">
        <f>"00531043"</f>
        <v>00531043</v>
      </c>
      <c r="H1095">
        <v>57.6</v>
      </c>
      <c r="I1095">
        <v>0</v>
      </c>
      <c r="M1095">
        <v>0</v>
      </c>
      <c r="N1095">
        <v>4</v>
      </c>
      <c r="O1095">
        <v>2</v>
      </c>
      <c r="P1095">
        <v>63.6</v>
      </c>
      <c r="Q1095">
        <v>16</v>
      </c>
      <c r="R1095">
        <v>16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16</v>
      </c>
      <c r="Z1095">
        <v>0</v>
      </c>
      <c r="AA1095">
        <v>0</v>
      </c>
      <c r="AC1095">
        <v>79.599999999999994</v>
      </c>
    </row>
    <row r="1096" spans="1:29">
      <c r="A1096">
        <v>1089</v>
      </c>
      <c r="B1096">
        <v>2392</v>
      </c>
      <c r="C1096" t="s">
        <v>2537</v>
      </c>
      <c r="D1096" t="s">
        <v>2538</v>
      </c>
      <c r="E1096" t="s">
        <v>66</v>
      </c>
      <c r="F1096" t="s">
        <v>2539</v>
      </c>
      <c r="G1096" t="str">
        <f>"00162477"</f>
        <v>00162477</v>
      </c>
      <c r="H1096">
        <v>27.6</v>
      </c>
      <c r="I1096">
        <v>0</v>
      </c>
      <c r="L1096">
        <v>4</v>
      </c>
      <c r="M1096">
        <v>4</v>
      </c>
      <c r="N1096">
        <v>4</v>
      </c>
      <c r="O1096">
        <v>2</v>
      </c>
      <c r="P1096">
        <v>37.6</v>
      </c>
      <c r="Q1096">
        <v>42</v>
      </c>
      <c r="R1096">
        <v>42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42</v>
      </c>
      <c r="Z1096">
        <v>0</v>
      </c>
      <c r="AA1096">
        <v>0</v>
      </c>
      <c r="AC1096">
        <v>79.599999999999994</v>
      </c>
    </row>
    <row r="1097" spans="1:29">
      <c r="A1097">
        <v>1090</v>
      </c>
      <c r="B1097">
        <v>3624</v>
      </c>
      <c r="C1097" t="s">
        <v>1823</v>
      </c>
      <c r="D1097" t="s">
        <v>164</v>
      </c>
      <c r="E1097" t="s">
        <v>28</v>
      </c>
      <c r="F1097" t="s">
        <v>2540</v>
      </c>
      <c r="G1097" t="str">
        <f>"00531028"</f>
        <v>00531028</v>
      </c>
      <c r="H1097">
        <v>39.56</v>
      </c>
      <c r="I1097">
        <v>0</v>
      </c>
      <c r="M1097">
        <v>0</v>
      </c>
      <c r="N1097">
        <v>0</v>
      </c>
      <c r="O1097">
        <v>2</v>
      </c>
      <c r="P1097">
        <v>41.56</v>
      </c>
      <c r="Q1097">
        <v>38</v>
      </c>
      <c r="R1097">
        <v>38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38</v>
      </c>
      <c r="Z1097">
        <v>0</v>
      </c>
      <c r="AA1097">
        <v>0</v>
      </c>
      <c r="AC1097">
        <v>79.56</v>
      </c>
    </row>
    <row r="1098" spans="1:29">
      <c r="A1098">
        <v>1091</v>
      </c>
      <c r="B1098">
        <v>3914</v>
      </c>
      <c r="C1098" t="s">
        <v>2541</v>
      </c>
      <c r="D1098" t="s">
        <v>251</v>
      </c>
      <c r="E1098" t="s">
        <v>79</v>
      </c>
      <c r="F1098" t="s">
        <v>2542</v>
      </c>
      <c r="G1098" t="str">
        <f>"00531446"</f>
        <v>00531446</v>
      </c>
      <c r="H1098">
        <v>14.4</v>
      </c>
      <c r="I1098">
        <v>10</v>
      </c>
      <c r="M1098">
        <v>0</v>
      </c>
      <c r="N1098">
        <v>4</v>
      </c>
      <c r="O1098">
        <v>0</v>
      </c>
      <c r="P1098">
        <v>28.4</v>
      </c>
      <c r="Q1098">
        <v>42</v>
      </c>
      <c r="R1098">
        <v>42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42</v>
      </c>
      <c r="Z1098">
        <v>9</v>
      </c>
      <c r="AA1098">
        <v>0</v>
      </c>
      <c r="AC1098">
        <v>79.400000000000006</v>
      </c>
    </row>
    <row r="1099" spans="1:29">
      <c r="A1099">
        <v>1092</v>
      </c>
      <c r="B1099">
        <v>180</v>
      </c>
      <c r="C1099" t="s">
        <v>747</v>
      </c>
      <c r="D1099" t="s">
        <v>554</v>
      </c>
      <c r="E1099" t="s">
        <v>15</v>
      </c>
      <c r="F1099" t="s">
        <v>2543</v>
      </c>
      <c r="G1099" t="str">
        <f>"00500505"</f>
        <v>00500505</v>
      </c>
      <c r="H1099">
        <v>14.4</v>
      </c>
      <c r="I1099">
        <v>0</v>
      </c>
      <c r="L1099">
        <v>4</v>
      </c>
      <c r="M1099">
        <v>4</v>
      </c>
      <c r="N1099">
        <v>4</v>
      </c>
      <c r="O1099">
        <v>2</v>
      </c>
      <c r="P1099">
        <v>24.4</v>
      </c>
      <c r="Q1099">
        <v>49</v>
      </c>
      <c r="R1099">
        <v>49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49</v>
      </c>
      <c r="Z1099">
        <v>6</v>
      </c>
      <c r="AA1099">
        <v>0</v>
      </c>
      <c r="AC1099">
        <v>79.400000000000006</v>
      </c>
    </row>
    <row r="1100" spans="1:29">
      <c r="A1100">
        <v>1093</v>
      </c>
      <c r="B1100">
        <v>1668</v>
      </c>
      <c r="C1100" t="s">
        <v>2544</v>
      </c>
      <c r="D1100" t="s">
        <v>2545</v>
      </c>
      <c r="E1100" t="s">
        <v>156</v>
      </c>
      <c r="F1100" t="s">
        <v>2546</v>
      </c>
      <c r="G1100" t="str">
        <f>"00081125"</f>
        <v>00081125</v>
      </c>
      <c r="H1100">
        <v>28.36</v>
      </c>
      <c r="I1100">
        <v>0</v>
      </c>
      <c r="M1100">
        <v>0</v>
      </c>
      <c r="N1100">
        <v>4</v>
      </c>
      <c r="O1100">
        <v>2</v>
      </c>
      <c r="P1100">
        <v>34.36</v>
      </c>
      <c r="Q1100">
        <v>45</v>
      </c>
      <c r="R1100">
        <v>45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45</v>
      </c>
      <c r="Z1100">
        <v>0</v>
      </c>
      <c r="AA1100">
        <v>0</v>
      </c>
      <c r="AC1100">
        <v>79.36</v>
      </c>
    </row>
    <row r="1101" spans="1:29">
      <c r="A1101">
        <v>1094</v>
      </c>
      <c r="B1101">
        <v>1715</v>
      </c>
      <c r="C1101" t="s">
        <v>2547</v>
      </c>
      <c r="D1101" t="s">
        <v>544</v>
      </c>
      <c r="E1101" t="s">
        <v>134</v>
      </c>
      <c r="F1101" t="s">
        <v>2548</v>
      </c>
      <c r="G1101" t="str">
        <f>"200802011774"</f>
        <v>200802011774</v>
      </c>
      <c r="H1101">
        <v>43.2</v>
      </c>
      <c r="I1101">
        <v>0</v>
      </c>
      <c r="L1101">
        <v>8</v>
      </c>
      <c r="M1101">
        <v>8</v>
      </c>
      <c r="N1101">
        <v>4</v>
      </c>
      <c r="O1101">
        <v>2</v>
      </c>
      <c r="P1101">
        <v>57.2</v>
      </c>
      <c r="Q1101">
        <v>16</v>
      </c>
      <c r="R1101">
        <v>16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16</v>
      </c>
      <c r="Z1101">
        <v>6</v>
      </c>
      <c r="AA1101">
        <v>0</v>
      </c>
      <c r="AC1101">
        <v>79.2</v>
      </c>
    </row>
    <row r="1102" spans="1:29">
      <c r="A1102">
        <v>1095</v>
      </c>
      <c r="B1102">
        <v>2815</v>
      </c>
      <c r="C1102" t="s">
        <v>1295</v>
      </c>
      <c r="D1102" t="s">
        <v>2549</v>
      </c>
      <c r="E1102" t="s">
        <v>2550</v>
      </c>
      <c r="F1102" t="s">
        <v>2551</v>
      </c>
      <c r="G1102" t="str">
        <f>"00531345"</f>
        <v>00531345</v>
      </c>
      <c r="H1102">
        <v>43.2</v>
      </c>
      <c r="I1102">
        <v>10</v>
      </c>
      <c r="M1102">
        <v>0</v>
      </c>
      <c r="N1102">
        <v>0</v>
      </c>
      <c r="O1102">
        <v>2</v>
      </c>
      <c r="P1102">
        <v>55.2</v>
      </c>
      <c r="Q1102">
        <v>18</v>
      </c>
      <c r="R1102">
        <v>18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18</v>
      </c>
      <c r="Z1102">
        <v>6</v>
      </c>
      <c r="AA1102">
        <v>0</v>
      </c>
      <c r="AC1102">
        <v>79.2</v>
      </c>
    </row>
    <row r="1103" spans="1:29">
      <c r="A1103">
        <v>1096</v>
      </c>
      <c r="B1103">
        <v>1832</v>
      </c>
      <c r="C1103" t="s">
        <v>2552</v>
      </c>
      <c r="D1103" t="s">
        <v>52</v>
      </c>
      <c r="E1103" t="s">
        <v>134</v>
      </c>
      <c r="F1103" t="s">
        <v>2553</v>
      </c>
      <c r="G1103" t="str">
        <f>"00441767"</f>
        <v>00441767</v>
      </c>
      <c r="H1103">
        <v>43.2</v>
      </c>
      <c r="I1103">
        <v>10</v>
      </c>
      <c r="L1103">
        <v>4</v>
      </c>
      <c r="M1103">
        <v>4</v>
      </c>
      <c r="N1103">
        <v>4</v>
      </c>
      <c r="O1103">
        <v>0</v>
      </c>
      <c r="P1103">
        <v>61.2</v>
      </c>
      <c r="Q1103">
        <v>18</v>
      </c>
      <c r="R1103">
        <v>18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18</v>
      </c>
      <c r="Z1103">
        <v>0</v>
      </c>
      <c r="AA1103">
        <v>0</v>
      </c>
      <c r="AC1103">
        <v>79.2</v>
      </c>
    </row>
    <row r="1104" spans="1:29">
      <c r="A1104">
        <v>1097</v>
      </c>
      <c r="B1104">
        <v>916</v>
      </c>
      <c r="C1104" t="s">
        <v>2554</v>
      </c>
      <c r="D1104" t="s">
        <v>164</v>
      </c>
      <c r="E1104" t="s">
        <v>36</v>
      </c>
      <c r="F1104" t="s">
        <v>2555</v>
      </c>
      <c r="G1104" t="str">
        <f>"00499149"</f>
        <v>00499149</v>
      </c>
      <c r="H1104">
        <v>43.2</v>
      </c>
      <c r="I1104">
        <v>0</v>
      </c>
      <c r="M1104">
        <v>0</v>
      </c>
      <c r="N1104">
        <v>0</v>
      </c>
      <c r="O1104">
        <v>0</v>
      </c>
      <c r="P1104">
        <v>43.2</v>
      </c>
      <c r="Q1104">
        <v>36</v>
      </c>
      <c r="R1104">
        <v>36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36</v>
      </c>
      <c r="Z1104">
        <v>0</v>
      </c>
      <c r="AA1104">
        <v>0</v>
      </c>
      <c r="AC1104">
        <v>79.2</v>
      </c>
    </row>
    <row r="1105" spans="1:29">
      <c r="A1105">
        <v>1098</v>
      </c>
      <c r="B1105">
        <v>1663</v>
      </c>
      <c r="C1105" t="s">
        <v>2556</v>
      </c>
      <c r="D1105" t="s">
        <v>2557</v>
      </c>
      <c r="E1105" t="s">
        <v>36</v>
      </c>
      <c r="F1105" t="s">
        <v>2558</v>
      </c>
      <c r="G1105" t="str">
        <f>"00188380"</f>
        <v>00188380</v>
      </c>
      <c r="H1105">
        <v>21.16</v>
      </c>
      <c r="I1105">
        <v>0</v>
      </c>
      <c r="M1105">
        <v>0</v>
      </c>
      <c r="N1105">
        <v>4</v>
      </c>
      <c r="O1105">
        <v>0</v>
      </c>
      <c r="P1105">
        <v>25.16</v>
      </c>
      <c r="Q1105">
        <v>51</v>
      </c>
      <c r="R1105">
        <v>51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51</v>
      </c>
      <c r="Z1105">
        <v>3</v>
      </c>
      <c r="AA1105">
        <v>0</v>
      </c>
      <c r="AC1105">
        <v>79.16</v>
      </c>
    </row>
    <row r="1106" spans="1:29">
      <c r="A1106">
        <v>1099</v>
      </c>
      <c r="B1106">
        <v>4508</v>
      </c>
      <c r="C1106" t="s">
        <v>2559</v>
      </c>
      <c r="D1106" t="s">
        <v>1051</v>
      </c>
      <c r="E1106" t="s">
        <v>115</v>
      </c>
      <c r="F1106" t="s">
        <v>2560</v>
      </c>
      <c r="G1106" t="str">
        <f>"00519505"</f>
        <v>00519505</v>
      </c>
      <c r="H1106">
        <v>26</v>
      </c>
      <c r="I1106">
        <v>10</v>
      </c>
      <c r="J1106">
        <v>8</v>
      </c>
      <c r="M1106">
        <v>8</v>
      </c>
      <c r="N1106">
        <v>4</v>
      </c>
      <c r="O1106">
        <v>2</v>
      </c>
      <c r="P1106">
        <v>50</v>
      </c>
      <c r="Q1106">
        <v>23</v>
      </c>
      <c r="R1106">
        <v>23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23</v>
      </c>
      <c r="Z1106">
        <v>6</v>
      </c>
      <c r="AA1106">
        <v>0</v>
      </c>
      <c r="AC1106">
        <v>79</v>
      </c>
    </row>
    <row r="1107" spans="1:29">
      <c r="A1107">
        <v>1100</v>
      </c>
      <c r="B1107">
        <v>2029</v>
      </c>
      <c r="C1107" t="s">
        <v>2561</v>
      </c>
      <c r="D1107" t="s">
        <v>465</v>
      </c>
      <c r="E1107" t="s">
        <v>53</v>
      </c>
      <c r="F1107" t="s">
        <v>2562</v>
      </c>
      <c r="G1107" t="str">
        <f>"00865130"</f>
        <v>00865130</v>
      </c>
      <c r="H1107">
        <v>72</v>
      </c>
      <c r="I1107">
        <v>0</v>
      </c>
      <c r="M1107">
        <v>0</v>
      </c>
      <c r="N1107">
        <v>4</v>
      </c>
      <c r="O1107">
        <v>0</v>
      </c>
      <c r="P1107">
        <v>76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3</v>
      </c>
      <c r="AA1107">
        <v>0</v>
      </c>
      <c r="AC1107">
        <v>79</v>
      </c>
    </row>
    <row r="1108" spans="1:29">
      <c r="A1108">
        <v>1101</v>
      </c>
      <c r="B1108">
        <v>3671</v>
      </c>
      <c r="C1108" t="s">
        <v>2563</v>
      </c>
      <c r="D1108" t="s">
        <v>145</v>
      </c>
      <c r="E1108" t="s">
        <v>2564</v>
      </c>
      <c r="F1108" t="s">
        <v>2565</v>
      </c>
      <c r="G1108" t="str">
        <f>"00442112"</f>
        <v>00442112</v>
      </c>
      <c r="H1108">
        <v>36</v>
      </c>
      <c r="I1108">
        <v>0</v>
      </c>
      <c r="M1108">
        <v>0</v>
      </c>
      <c r="N1108">
        <v>4</v>
      </c>
      <c r="O1108">
        <v>2</v>
      </c>
      <c r="P1108">
        <v>42</v>
      </c>
      <c r="Q1108">
        <v>34</v>
      </c>
      <c r="R1108">
        <v>34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34</v>
      </c>
      <c r="Z1108">
        <v>3</v>
      </c>
      <c r="AA1108">
        <v>0</v>
      </c>
      <c r="AC1108">
        <v>79</v>
      </c>
    </row>
    <row r="1109" spans="1:29">
      <c r="A1109">
        <v>1102</v>
      </c>
      <c r="B1109">
        <v>4236</v>
      </c>
      <c r="C1109" t="s">
        <v>2566</v>
      </c>
      <c r="D1109" t="s">
        <v>2567</v>
      </c>
      <c r="E1109" t="s">
        <v>2568</v>
      </c>
      <c r="F1109" t="s">
        <v>2569</v>
      </c>
      <c r="G1109" t="str">
        <f>"00513554"</f>
        <v>00513554</v>
      </c>
      <c r="H1109">
        <v>36</v>
      </c>
      <c r="I1109">
        <v>0</v>
      </c>
      <c r="M1109">
        <v>0</v>
      </c>
      <c r="N1109">
        <v>4</v>
      </c>
      <c r="O1109">
        <v>0</v>
      </c>
      <c r="P1109">
        <v>40</v>
      </c>
      <c r="Q1109">
        <v>36</v>
      </c>
      <c r="R1109">
        <v>36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36</v>
      </c>
      <c r="Z1109">
        <v>3</v>
      </c>
      <c r="AA1109">
        <v>0</v>
      </c>
      <c r="AC1109">
        <v>79</v>
      </c>
    </row>
    <row r="1110" spans="1:29">
      <c r="A1110">
        <v>1103</v>
      </c>
      <c r="B1110">
        <v>2134</v>
      </c>
      <c r="C1110" t="s">
        <v>2570</v>
      </c>
      <c r="D1110" t="s">
        <v>20</v>
      </c>
      <c r="E1110" t="s">
        <v>18</v>
      </c>
      <c r="F1110" t="s">
        <v>2571</v>
      </c>
      <c r="G1110" t="str">
        <f>"00530188"</f>
        <v>00530188</v>
      </c>
      <c r="H1110">
        <v>20</v>
      </c>
      <c r="I1110">
        <v>0</v>
      </c>
      <c r="J1110">
        <v>8</v>
      </c>
      <c r="M1110">
        <v>8</v>
      </c>
      <c r="N1110">
        <v>4</v>
      </c>
      <c r="O1110">
        <v>0</v>
      </c>
      <c r="P1110">
        <v>32</v>
      </c>
      <c r="Q1110">
        <v>47</v>
      </c>
      <c r="R1110">
        <v>47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47</v>
      </c>
      <c r="Z1110">
        <v>0</v>
      </c>
      <c r="AA1110">
        <v>0</v>
      </c>
      <c r="AC1110">
        <v>79</v>
      </c>
    </row>
    <row r="1111" spans="1:29">
      <c r="A1111">
        <v>1104</v>
      </c>
      <c r="B1111">
        <v>2820</v>
      </c>
      <c r="C1111" t="s">
        <v>2585</v>
      </c>
      <c r="D1111" t="s">
        <v>820</v>
      </c>
      <c r="E1111" t="s">
        <v>252</v>
      </c>
      <c r="F1111" t="s">
        <v>2586</v>
      </c>
      <c r="G1111" t="str">
        <f>"00761291"</f>
        <v>00761291</v>
      </c>
      <c r="H1111">
        <v>64.8</v>
      </c>
      <c r="I1111">
        <v>10</v>
      </c>
      <c r="L1111">
        <v>4</v>
      </c>
      <c r="M1111">
        <v>4</v>
      </c>
      <c r="N1111">
        <v>0</v>
      </c>
      <c r="O1111">
        <v>0</v>
      </c>
      <c r="P1111">
        <v>78.8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C1111">
        <v>78.8</v>
      </c>
    </row>
    <row r="1112" spans="1:29">
      <c r="A1112">
        <v>1105</v>
      </c>
      <c r="B1112">
        <v>684</v>
      </c>
      <c r="C1112" t="s">
        <v>2587</v>
      </c>
      <c r="D1112" t="s">
        <v>739</v>
      </c>
      <c r="E1112" t="s">
        <v>115</v>
      </c>
      <c r="F1112" t="s">
        <v>2588</v>
      </c>
      <c r="G1112" t="str">
        <f>"00856480"</f>
        <v>00856480</v>
      </c>
      <c r="H1112">
        <v>64.8</v>
      </c>
      <c r="I1112">
        <v>10</v>
      </c>
      <c r="M1112">
        <v>0</v>
      </c>
      <c r="N1112">
        <v>4</v>
      </c>
      <c r="O1112">
        <v>0</v>
      </c>
      <c r="P1112">
        <v>78.8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C1112">
        <v>78.8</v>
      </c>
    </row>
    <row r="1113" spans="1:29">
      <c r="A1113">
        <v>1106</v>
      </c>
      <c r="B1113">
        <v>4485</v>
      </c>
      <c r="C1113" t="s">
        <v>2578</v>
      </c>
      <c r="D1113" t="s">
        <v>2579</v>
      </c>
      <c r="E1113" t="s">
        <v>36</v>
      </c>
      <c r="F1113" t="s">
        <v>2580</v>
      </c>
      <c r="G1113" t="str">
        <f>"00813272"</f>
        <v>00813272</v>
      </c>
      <c r="H1113">
        <v>64.8</v>
      </c>
      <c r="I1113">
        <v>10</v>
      </c>
      <c r="L1113">
        <v>4</v>
      </c>
      <c r="M1113">
        <v>4</v>
      </c>
      <c r="N1113">
        <v>0</v>
      </c>
      <c r="O1113">
        <v>0</v>
      </c>
      <c r="P1113">
        <v>78.8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C1113">
        <v>78.8</v>
      </c>
    </row>
    <row r="1114" spans="1:29">
      <c r="A1114">
        <v>1107</v>
      </c>
      <c r="B1114">
        <v>3925</v>
      </c>
      <c r="C1114" t="s">
        <v>2572</v>
      </c>
      <c r="D1114" t="s">
        <v>2573</v>
      </c>
      <c r="E1114" t="s">
        <v>18</v>
      </c>
      <c r="F1114" t="s">
        <v>2574</v>
      </c>
      <c r="G1114" t="str">
        <f>"00805622"</f>
        <v>00805622</v>
      </c>
      <c r="H1114">
        <v>64.8</v>
      </c>
      <c r="I1114">
        <v>0</v>
      </c>
      <c r="J1114">
        <v>8</v>
      </c>
      <c r="M1114">
        <v>8</v>
      </c>
      <c r="N1114">
        <v>4</v>
      </c>
      <c r="O1114">
        <v>2</v>
      </c>
      <c r="P1114">
        <v>78.8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C1114">
        <v>78.8</v>
      </c>
    </row>
    <row r="1115" spans="1:29">
      <c r="A1115">
        <v>1108</v>
      </c>
      <c r="B1115">
        <v>542</v>
      </c>
      <c r="C1115" t="s">
        <v>1316</v>
      </c>
      <c r="D1115" t="s">
        <v>179</v>
      </c>
      <c r="E1115" t="s">
        <v>18</v>
      </c>
      <c r="F1115" t="s">
        <v>2575</v>
      </c>
      <c r="G1115" t="str">
        <f>"00127592"</f>
        <v>00127592</v>
      </c>
      <c r="H1115">
        <v>64.8</v>
      </c>
      <c r="I1115">
        <v>0</v>
      </c>
      <c r="J1115">
        <v>8</v>
      </c>
      <c r="M1115">
        <v>8</v>
      </c>
      <c r="N1115">
        <v>4</v>
      </c>
      <c r="O1115">
        <v>2</v>
      </c>
      <c r="P1115">
        <v>78.8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C1115">
        <v>78.8</v>
      </c>
    </row>
    <row r="1116" spans="1:29">
      <c r="A1116">
        <v>1109</v>
      </c>
      <c r="B1116">
        <v>4468</v>
      </c>
      <c r="C1116" t="s">
        <v>2576</v>
      </c>
      <c r="D1116" t="s">
        <v>35</v>
      </c>
      <c r="E1116" t="s">
        <v>66</v>
      </c>
      <c r="F1116" t="s">
        <v>2577</v>
      </c>
      <c r="G1116" t="str">
        <f>"00232055"</f>
        <v>00232055</v>
      </c>
      <c r="H1116">
        <v>64.8</v>
      </c>
      <c r="I1116">
        <v>0</v>
      </c>
      <c r="L1116">
        <v>8</v>
      </c>
      <c r="M1116">
        <v>8</v>
      </c>
      <c r="N1116">
        <v>4</v>
      </c>
      <c r="O1116">
        <v>2</v>
      </c>
      <c r="P1116">
        <v>78.8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C1116">
        <v>78.8</v>
      </c>
    </row>
    <row r="1117" spans="1:29">
      <c r="A1117">
        <v>1110</v>
      </c>
      <c r="B1117">
        <v>1758</v>
      </c>
      <c r="C1117" t="s">
        <v>2583</v>
      </c>
      <c r="D1117" t="s">
        <v>179</v>
      </c>
      <c r="E1117" t="s">
        <v>36</v>
      </c>
      <c r="F1117" t="s">
        <v>2584</v>
      </c>
      <c r="G1117" t="str">
        <f>"00855250"</f>
        <v>00855250</v>
      </c>
      <c r="H1117">
        <v>64.8</v>
      </c>
      <c r="I1117">
        <v>0</v>
      </c>
      <c r="J1117">
        <v>8</v>
      </c>
      <c r="M1117">
        <v>8</v>
      </c>
      <c r="N1117">
        <v>4</v>
      </c>
      <c r="O1117">
        <v>2</v>
      </c>
      <c r="P1117">
        <v>78.8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C1117">
        <v>78.8</v>
      </c>
    </row>
    <row r="1118" spans="1:29">
      <c r="A1118">
        <v>1111</v>
      </c>
      <c r="B1118">
        <v>2245</v>
      </c>
      <c r="C1118" t="s">
        <v>1295</v>
      </c>
      <c r="D1118" t="s">
        <v>2581</v>
      </c>
      <c r="E1118" t="s">
        <v>36</v>
      </c>
      <c r="F1118" t="s">
        <v>2582</v>
      </c>
      <c r="G1118" t="str">
        <f>"00590981"</f>
        <v>00590981</v>
      </c>
      <c r="H1118">
        <v>64.8</v>
      </c>
      <c r="I1118">
        <v>0</v>
      </c>
      <c r="J1118">
        <v>8</v>
      </c>
      <c r="M1118">
        <v>8</v>
      </c>
      <c r="N1118">
        <v>4</v>
      </c>
      <c r="O1118">
        <v>2</v>
      </c>
      <c r="P1118">
        <v>78.8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C1118">
        <v>78.8</v>
      </c>
    </row>
    <row r="1119" spans="1:29">
      <c r="A1119">
        <v>1112</v>
      </c>
      <c r="B1119">
        <v>1065</v>
      </c>
      <c r="C1119" t="s">
        <v>178</v>
      </c>
      <c r="D1119" t="s">
        <v>952</v>
      </c>
      <c r="E1119" t="s">
        <v>2589</v>
      </c>
      <c r="F1119" t="s">
        <v>2590</v>
      </c>
      <c r="G1119" t="str">
        <f>"00482204"</f>
        <v>00482204</v>
      </c>
      <c r="H1119">
        <v>64.8</v>
      </c>
      <c r="I1119">
        <v>0</v>
      </c>
      <c r="M1119">
        <v>0</v>
      </c>
      <c r="N1119">
        <v>4</v>
      </c>
      <c r="O1119">
        <v>0</v>
      </c>
      <c r="P1119">
        <v>68.8</v>
      </c>
      <c r="Q1119">
        <v>10</v>
      </c>
      <c r="R1119">
        <v>10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10</v>
      </c>
      <c r="Z1119">
        <v>0</v>
      </c>
      <c r="AA1119">
        <v>0</v>
      </c>
      <c r="AC1119">
        <v>78.8</v>
      </c>
    </row>
    <row r="1120" spans="1:29">
      <c r="A1120">
        <v>1113</v>
      </c>
      <c r="B1120">
        <v>3480</v>
      </c>
      <c r="C1120" t="s">
        <v>2591</v>
      </c>
      <c r="D1120" t="s">
        <v>98</v>
      </c>
      <c r="E1120" t="s">
        <v>50</v>
      </c>
      <c r="F1120" t="s">
        <v>2592</v>
      </c>
      <c r="G1120" t="str">
        <f>"00483330"</f>
        <v>00483330</v>
      </c>
      <c r="H1120">
        <v>28.8</v>
      </c>
      <c r="I1120">
        <v>0</v>
      </c>
      <c r="J1120">
        <v>8</v>
      </c>
      <c r="M1120">
        <v>8</v>
      </c>
      <c r="N1120">
        <v>4</v>
      </c>
      <c r="O1120">
        <v>2</v>
      </c>
      <c r="P1120">
        <v>42.8</v>
      </c>
      <c r="Q1120">
        <v>36</v>
      </c>
      <c r="R1120">
        <v>36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36</v>
      </c>
      <c r="Z1120">
        <v>0</v>
      </c>
      <c r="AA1120">
        <v>0</v>
      </c>
      <c r="AC1120">
        <v>78.8</v>
      </c>
    </row>
    <row r="1121" spans="1:29">
      <c r="A1121">
        <v>1114</v>
      </c>
      <c r="B1121">
        <v>595</v>
      </c>
      <c r="C1121" t="s">
        <v>2593</v>
      </c>
      <c r="D1121" t="s">
        <v>185</v>
      </c>
      <c r="E1121" t="s">
        <v>89</v>
      </c>
      <c r="F1121" t="s">
        <v>2594</v>
      </c>
      <c r="G1121" t="str">
        <f>"00523077"</f>
        <v>00523077</v>
      </c>
      <c r="H1121">
        <v>36.799999999999997</v>
      </c>
      <c r="I1121">
        <v>0</v>
      </c>
      <c r="M1121">
        <v>0</v>
      </c>
      <c r="N1121">
        <v>0</v>
      </c>
      <c r="O1121">
        <v>0</v>
      </c>
      <c r="P1121">
        <v>36.799999999999997</v>
      </c>
      <c r="Q1121">
        <v>42</v>
      </c>
      <c r="R1121">
        <v>42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42</v>
      </c>
      <c r="Z1121">
        <v>0</v>
      </c>
      <c r="AA1121">
        <v>0</v>
      </c>
      <c r="AC1121">
        <v>78.8</v>
      </c>
    </row>
    <row r="1122" spans="1:29">
      <c r="A1122">
        <v>1115</v>
      </c>
      <c r="B1122">
        <v>1080</v>
      </c>
      <c r="C1122" t="s">
        <v>2595</v>
      </c>
      <c r="D1122" t="s">
        <v>261</v>
      </c>
      <c r="E1122" t="s">
        <v>36</v>
      </c>
      <c r="F1122" t="s">
        <v>2596</v>
      </c>
      <c r="G1122" t="str">
        <f>"00523100"</f>
        <v>00523100</v>
      </c>
      <c r="H1122">
        <v>33.72</v>
      </c>
      <c r="I1122">
        <v>0</v>
      </c>
      <c r="M1122">
        <v>0</v>
      </c>
      <c r="N1122">
        <v>4</v>
      </c>
      <c r="O1122">
        <v>2</v>
      </c>
      <c r="P1122">
        <v>39.72</v>
      </c>
      <c r="Q1122">
        <v>33</v>
      </c>
      <c r="R1122">
        <v>33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33</v>
      </c>
      <c r="Z1122">
        <v>6</v>
      </c>
      <c r="AA1122">
        <v>0</v>
      </c>
      <c r="AC1122">
        <v>78.72</v>
      </c>
    </row>
    <row r="1123" spans="1:29">
      <c r="A1123">
        <v>1116</v>
      </c>
      <c r="B1123">
        <v>3946</v>
      </c>
      <c r="C1123" t="s">
        <v>2597</v>
      </c>
      <c r="D1123" t="s">
        <v>1150</v>
      </c>
      <c r="E1123" t="s">
        <v>134</v>
      </c>
      <c r="F1123" t="s">
        <v>2598</v>
      </c>
      <c r="G1123" t="str">
        <f>"00155884"</f>
        <v>00155884</v>
      </c>
      <c r="H1123">
        <v>39.72</v>
      </c>
      <c r="I1123">
        <v>0</v>
      </c>
      <c r="M1123">
        <v>0</v>
      </c>
      <c r="N1123">
        <v>4</v>
      </c>
      <c r="O1123">
        <v>2</v>
      </c>
      <c r="P1123">
        <v>45.72</v>
      </c>
      <c r="Q1123">
        <v>33</v>
      </c>
      <c r="R1123">
        <v>33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33</v>
      </c>
      <c r="Z1123">
        <v>0</v>
      </c>
      <c r="AA1123">
        <v>0</v>
      </c>
      <c r="AC1123">
        <v>78.72</v>
      </c>
    </row>
    <row r="1124" spans="1:29">
      <c r="A1124">
        <v>1117</v>
      </c>
      <c r="B1124">
        <v>62</v>
      </c>
      <c r="C1124" t="s">
        <v>2602</v>
      </c>
      <c r="D1124" t="s">
        <v>52</v>
      </c>
      <c r="E1124" t="s">
        <v>134</v>
      </c>
      <c r="F1124" t="s">
        <v>2603</v>
      </c>
      <c r="G1124" t="str">
        <f>"201511030547"</f>
        <v>201511030547</v>
      </c>
      <c r="H1124">
        <v>57.6</v>
      </c>
      <c r="I1124">
        <v>0</v>
      </c>
      <c r="J1124">
        <v>8</v>
      </c>
      <c r="L1124">
        <v>4</v>
      </c>
      <c r="M1124">
        <v>12</v>
      </c>
      <c r="N1124">
        <v>4</v>
      </c>
      <c r="O1124">
        <v>2</v>
      </c>
      <c r="P1124">
        <v>75.599999999999994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3</v>
      </c>
      <c r="AA1124">
        <v>0</v>
      </c>
      <c r="AC1124">
        <v>78.599999999999994</v>
      </c>
    </row>
    <row r="1125" spans="1:29">
      <c r="A1125">
        <v>1118</v>
      </c>
      <c r="B1125">
        <v>3033</v>
      </c>
      <c r="C1125" t="s">
        <v>2599</v>
      </c>
      <c r="D1125" t="s">
        <v>510</v>
      </c>
      <c r="E1125" t="s">
        <v>2600</v>
      </c>
      <c r="F1125" t="s">
        <v>2601</v>
      </c>
      <c r="G1125" t="str">
        <f>"201511035275"</f>
        <v>201511035275</v>
      </c>
      <c r="H1125">
        <v>57.6</v>
      </c>
      <c r="I1125">
        <v>0</v>
      </c>
      <c r="J1125">
        <v>8</v>
      </c>
      <c r="L1125">
        <v>4</v>
      </c>
      <c r="M1125">
        <v>12</v>
      </c>
      <c r="N1125">
        <v>4</v>
      </c>
      <c r="O1125">
        <v>2</v>
      </c>
      <c r="P1125">
        <v>75.599999999999994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3</v>
      </c>
      <c r="AA1125">
        <v>0</v>
      </c>
      <c r="AB1125" t="s">
        <v>128</v>
      </c>
      <c r="AC1125">
        <v>78.599999999999994</v>
      </c>
    </row>
    <row r="1126" spans="1:29">
      <c r="A1126">
        <v>1119</v>
      </c>
      <c r="B1126">
        <v>4298</v>
      </c>
      <c r="C1126" t="s">
        <v>2604</v>
      </c>
      <c r="D1126" t="s">
        <v>95</v>
      </c>
      <c r="E1126" t="s">
        <v>2605</v>
      </c>
      <c r="F1126" t="s">
        <v>2606</v>
      </c>
      <c r="G1126" t="str">
        <f>"00484269"</f>
        <v>00484269</v>
      </c>
      <c r="H1126">
        <v>39.56</v>
      </c>
      <c r="I1126">
        <v>0</v>
      </c>
      <c r="M1126">
        <v>0</v>
      </c>
      <c r="N1126">
        <v>0</v>
      </c>
      <c r="O1126">
        <v>2</v>
      </c>
      <c r="P1126">
        <v>41.56</v>
      </c>
      <c r="Q1126">
        <v>31</v>
      </c>
      <c r="R1126">
        <v>31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31</v>
      </c>
      <c r="Z1126">
        <v>6</v>
      </c>
      <c r="AA1126">
        <v>0</v>
      </c>
      <c r="AC1126">
        <v>78.56</v>
      </c>
    </row>
    <row r="1127" spans="1:29">
      <c r="A1127">
        <v>1120</v>
      </c>
      <c r="B1127">
        <v>3054</v>
      </c>
      <c r="C1127" t="s">
        <v>2607</v>
      </c>
      <c r="D1127" t="s">
        <v>2608</v>
      </c>
      <c r="E1127" t="s">
        <v>889</v>
      </c>
      <c r="F1127" t="s">
        <v>2609</v>
      </c>
      <c r="G1127" t="str">
        <f>"00153644"</f>
        <v>00153644</v>
      </c>
      <c r="H1127">
        <v>26.56</v>
      </c>
      <c r="I1127">
        <v>0</v>
      </c>
      <c r="M1127">
        <v>0</v>
      </c>
      <c r="N1127">
        <v>0</v>
      </c>
      <c r="O1127">
        <v>2</v>
      </c>
      <c r="P1127">
        <v>28.56</v>
      </c>
      <c r="Q1127">
        <v>44</v>
      </c>
      <c r="R1127">
        <v>44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44</v>
      </c>
      <c r="Z1127">
        <v>6</v>
      </c>
      <c r="AA1127">
        <v>0</v>
      </c>
      <c r="AC1127">
        <v>78.56</v>
      </c>
    </row>
    <row r="1128" spans="1:29">
      <c r="A1128">
        <v>1121</v>
      </c>
      <c r="B1128">
        <v>3937</v>
      </c>
      <c r="C1128" t="s">
        <v>2610</v>
      </c>
      <c r="D1128" t="s">
        <v>784</v>
      </c>
      <c r="E1128" t="s">
        <v>237</v>
      </c>
      <c r="F1128" t="s">
        <v>2611</v>
      </c>
      <c r="G1128" t="str">
        <f>"00554850"</f>
        <v>00554850</v>
      </c>
      <c r="H1128">
        <v>38.68</v>
      </c>
      <c r="I1128">
        <v>0</v>
      </c>
      <c r="M1128">
        <v>0</v>
      </c>
      <c r="N1128">
        <v>4</v>
      </c>
      <c r="O1128">
        <v>0</v>
      </c>
      <c r="P1128">
        <v>42.68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9</v>
      </c>
      <c r="AA1128">
        <v>26.8</v>
      </c>
      <c r="AC1128">
        <v>78.48</v>
      </c>
    </row>
    <row r="1129" spans="1:29">
      <c r="A1129">
        <v>1122</v>
      </c>
      <c r="B1129">
        <v>3231</v>
      </c>
      <c r="C1129" t="s">
        <v>2612</v>
      </c>
      <c r="D1129" t="s">
        <v>27</v>
      </c>
      <c r="E1129" t="s">
        <v>777</v>
      </c>
      <c r="F1129" t="s">
        <v>2613</v>
      </c>
      <c r="G1129" t="str">
        <f>"200712001915"</f>
        <v>200712001915</v>
      </c>
      <c r="H1129">
        <v>50.4</v>
      </c>
      <c r="I1129">
        <v>10</v>
      </c>
      <c r="K1129">
        <v>6</v>
      </c>
      <c r="M1129">
        <v>6</v>
      </c>
      <c r="N1129">
        <v>4</v>
      </c>
      <c r="O1129">
        <v>2</v>
      </c>
      <c r="P1129">
        <v>72.400000000000006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6</v>
      </c>
      <c r="AA1129">
        <v>0</v>
      </c>
      <c r="AC1129">
        <v>78.400000000000006</v>
      </c>
    </row>
    <row r="1130" spans="1:29">
      <c r="A1130">
        <v>1123</v>
      </c>
      <c r="B1130">
        <v>420</v>
      </c>
      <c r="C1130" t="s">
        <v>2614</v>
      </c>
      <c r="D1130" t="s">
        <v>27</v>
      </c>
      <c r="E1130" t="s">
        <v>50</v>
      </c>
      <c r="F1130" t="s">
        <v>2615</v>
      </c>
      <c r="G1130" t="str">
        <f>"00531565"</f>
        <v>00531565</v>
      </c>
      <c r="H1130">
        <v>50.4</v>
      </c>
      <c r="I1130">
        <v>0</v>
      </c>
      <c r="L1130">
        <v>4</v>
      </c>
      <c r="M1130">
        <v>4</v>
      </c>
      <c r="N1130">
        <v>4</v>
      </c>
      <c r="O1130">
        <v>2</v>
      </c>
      <c r="P1130">
        <v>60.4</v>
      </c>
      <c r="Q1130">
        <v>18</v>
      </c>
      <c r="R1130">
        <v>18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18</v>
      </c>
      <c r="Z1130">
        <v>0</v>
      </c>
      <c r="AA1130">
        <v>0</v>
      </c>
      <c r="AC1130">
        <v>78.400000000000006</v>
      </c>
    </row>
    <row r="1131" spans="1:29">
      <c r="A1131">
        <v>1124</v>
      </c>
      <c r="B1131">
        <v>2890</v>
      </c>
      <c r="C1131" t="s">
        <v>2620</v>
      </c>
      <c r="D1131" t="s">
        <v>205</v>
      </c>
      <c r="E1131" t="s">
        <v>337</v>
      </c>
      <c r="F1131" t="s">
        <v>2621</v>
      </c>
      <c r="G1131" t="str">
        <f>"00497820"</f>
        <v>00497820</v>
      </c>
      <c r="H1131">
        <v>50.4</v>
      </c>
      <c r="I1131">
        <v>0</v>
      </c>
      <c r="L1131">
        <v>4</v>
      </c>
      <c r="M1131">
        <v>4</v>
      </c>
      <c r="N1131">
        <v>4</v>
      </c>
      <c r="O1131">
        <v>2</v>
      </c>
      <c r="P1131">
        <v>60.4</v>
      </c>
      <c r="Q1131">
        <v>18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18</v>
      </c>
      <c r="Z1131">
        <v>0</v>
      </c>
      <c r="AA1131">
        <v>0</v>
      </c>
      <c r="AC1131">
        <v>78.400000000000006</v>
      </c>
    </row>
    <row r="1132" spans="1:29">
      <c r="A1132">
        <v>1125</v>
      </c>
      <c r="B1132">
        <v>1088</v>
      </c>
      <c r="C1132" t="s">
        <v>2618</v>
      </c>
      <c r="D1132" t="s">
        <v>31</v>
      </c>
      <c r="E1132" t="s">
        <v>89</v>
      </c>
      <c r="F1132" t="s">
        <v>2619</v>
      </c>
      <c r="G1132" t="str">
        <f>"00301625"</f>
        <v>00301625</v>
      </c>
      <c r="H1132">
        <v>50.4</v>
      </c>
      <c r="I1132">
        <v>0</v>
      </c>
      <c r="L1132">
        <v>4</v>
      </c>
      <c r="M1132">
        <v>4</v>
      </c>
      <c r="N1132">
        <v>4</v>
      </c>
      <c r="O1132">
        <v>2</v>
      </c>
      <c r="P1132">
        <v>60.4</v>
      </c>
      <c r="Q1132">
        <v>18</v>
      </c>
      <c r="R1132">
        <v>18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18</v>
      </c>
      <c r="Z1132">
        <v>0</v>
      </c>
      <c r="AA1132">
        <v>0</v>
      </c>
      <c r="AC1132">
        <v>78.400000000000006</v>
      </c>
    </row>
    <row r="1133" spans="1:29">
      <c r="A1133">
        <v>1126</v>
      </c>
      <c r="B1133">
        <v>1681</v>
      </c>
      <c r="C1133" t="s">
        <v>2622</v>
      </c>
      <c r="D1133" t="s">
        <v>27</v>
      </c>
      <c r="E1133" t="s">
        <v>50</v>
      </c>
      <c r="F1133" t="s">
        <v>2623</v>
      </c>
      <c r="G1133" t="str">
        <f>"00533428"</f>
        <v>00533428</v>
      </c>
      <c r="H1133">
        <v>50.4</v>
      </c>
      <c r="I1133">
        <v>10</v>
      </c>
      <c r="M1133">
        <v>0</v>
      </c>
      <c r="N1133">
        <v>0</v>
      </c>
      <c r="O1133">
        <v>0</v>
      </c>
      <c r="P1133">
        <v>60.4</v>
      </c>
      <c r="Q1133">
        <v>18</v>
      </c>
      <c r="R1133">
        <v>18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18</v>
      </c>
      <c r="Z1133">
        <v>0</v>
      </c>
      <c r="AA1133">
        <v>0</v>
      </c>
      <c r="AC1133">
        <v>78.400000000000006</v>
      </c>
    </row>
    <row r="1134" spans="1:29">
      <c r="A1134">
        <v>1127</v>
      </c>
      <c r="B1134">
        <v>1547</v>
      </c>
      <c r="C1134" t="s">
        <v>2616</v>
      </c>
      <c r="D1134" t="s">
        <v>363</v>
      </c>
      <c r="E1134" t="s">
        <v>77</v>
      </c>
      <c r="F1134" t="s">
        <v>2617</v>
      </c>
      <c r="G1134" t="str">
        <f>"00533013"</f>
        <v>00533013</v>
      </c>
      <c r="H1134">
        <v>50.4</v>
      </c>
      <c r="I1134">
        <v>0</v>
      </c>
      <c r="L1134">
        <v>4</v>
      </c>
      <c r="M1134">
        <v>4</v>
      </c>
      <c r="N1134">
        <v>4</v>
      </c>
      <c r="O1134">
        <v>2</v>
      </c>
      <c r="P1134">
        <v>60.4</v>
      </c>
      <c r="Q1134">
        <v>18</v>
      </c>
      <c r="R1134">
        <v>18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18</v>
      </c>
      <c r="Z1134">
        <v>0</v>
      </c>
      <c r="AA1134">
        <v>0</v>
      </c>
      <c r="AC1134">
        <v>78.400000000000006</v>
      </c>
    </row>
    <row r="1135" spans="1:29">
      <c r="A1135">
        <v>1128</v>
      </c>
      <c r="B1135">
        <v>2682</v>
      </c>
      <c r="C1135" t="s">
        <v>1694</v>
      </c>
      <c r="D1135" t="s">
        <v>52</v>
      </c>
      <c r="E1135" t="s">
        <v>967</v>
      </c>
      <c r="F1135" t="s">
        <v>2624</v>
      </c>
      <c r="G1135" t="str">
        <f>"00505831"</f>
        <v>00505831</v>
      </c>
      <c r="H1135">
        <v>12.24</v>
      </c>
      <c r="I1135">
        <v>0</v>
      </c>
      <c r="M1135">
        <v>0</v>
      </c>
      <c r="N1135">
        <v>0</v>
      </c>
      <c r="O1135">
        <v>0</v>
      </c>
      <c r="P1135">
        <v>12.24</v>
      </c>
      <c r="Q1135">
        <v>54</v>
      </c>
      <c r="R1135">
        <v>54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54</v>
      </c>
      <c r="Z1135">
        <v>12</v>
      </c>
      <c r="AA1135">
        <v>0</v>
      </c>
      <c r="AC1135">
        <v>78.239999999999995</v>
      </c>
    </row>
    <row r="1136" spans="1:29">
      <c r="A1136">
        <v>1129</v>
      </c>
      <c r="B1136">
        <v>135</v>
      </c>
      <c r="C1136" t="s">
        <v>2625</v>
      </c>
      <c r="D1136" t="s">
        <v>159</v>
      </c>
      <c r="E1136" t="s">
        <v>36</v>
      </c>
      <c r="F1136" t="s">
        <v>2626</v>
      </c>
      <c r="G1136" t="str">
        <f>"00247802"</f>
        <v>00247802</v>
      </c>
      <c r="H1136">
        <v>26.2</v>
      </c>
      <c r="I1136">
        <v>0</v>
      </c>
      <c r="M1136">
        <v>0</v>
      </c>
      <c r="N1136">
        <v>4</v>
      </c>
      <c r="O1136">
        <v>2</v>
      </c>
      <c r="P1136">
        <v>32.200000000000003</v>
      </c>
      <c r="Q1136">
        <v>18</v>
      </c>
      <c r="R1136">
        <v>18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18</v>
      </c>
      <c r="Z1136">
        <v>6</v>
      </c>
      <c r="AA1136">
        <v>22</v>
      </c>
      <c r="AC1136">
        <v>78.2</v>
      </c>
    </row>
    <row r="1137" spans="1:29">
      <c r="A1137">
        <v>1130</v>
      </c>
      <c r="B1137">
        <v>1254</v>
      </c>
      <c r="C1137" t="s">
        <v>2627</v>
      </c>
      <c r="D1137" t="s">
        <v>448</v>
      </c>
      <c r="E1137" t="s">
        <v>15</v>
      </c>
      <c r="F1137" t="s">
        <v>2628</v>
      </c>
      <c r="G1137" t="str">
        <f>"201604003552"</f>
        <v>201604003552</v>
      </c>
      <c r="H1137">
        <v>43.2</v>
      </c>
      <c r="I1137">
        <v>0</v>
      </c>
      <c r="J1137">
        <v>8</v>
      </c>
      <c r="M1137">
        <v>8</v>
      </c>
      <c r="N1137">
        <v>4</v>
      </c>
      <c r="O1137">
        <v>2</v>
      </c>
      <c r="P1137">
        <v>57.2</v>
      </c>
      <c r="Q1137">
        <v>18</v>
      </c>
      <c r="R1137">
        <v>18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18</v>
      </c>
      <c r="Z1137">
        <v>3</v>
      </c>
      <c r="AA1137">
        <v>0</v>
      </c>
      <c r="AC1137">
        <v>78.2</v>
      </c>
    </row>
    <row r="1138" spans="1:29">
      <c r="A1138">
        <v>1131</v>
      </c>
      <c r="B1138">
        <v>3927</v>
      </c>
      <c r="C1138" t="s">
        <v>2629</v>
      </c>
      <c r="D1138" t="s">
        <v>2430</v>
      </c>
      <c r="E1138" t="s">
        <v>292</v>
      </c>
      <c r="F1138" t="s">
        <v>2630</v>
      </c>
      <c r="G1138" t="str">
        <f>"00166616"</f>
        <v>00166616</v>
      </c>
      <c r="H1138">
        <v>40</v>
      </c>
      <c r="I1138">
        <v>0</v>
      </c>
      <c r="J1138">
        <v>8</v>
      </c>
      <c r="M1138">
        <v>8</v>
      </c>
      <c r="N1138">
        <v>4</v>
      </c>
      <c r="O1138">
        <v>0</v>
      </c>
      <c r="P1138">
        <v>52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6</v>
      </c>
      <c r="AA1138">
        <v>20</v>
      </c>
      <c r="AC1138">
        <v>78</v>
      </c>
    </row>
    <row r="1139" spans="1:29">
      <c r="A1139">
        <v>1132</v>
      </c>
      <c r="B1139">
        <v>3486</v>
      </c>
      <c r="C1139" t="s">
        <v>2631</v>
      </c>
      <c r="D1139" t="s">
        <v>164</v>
      </c>
      <c r="E1139" t="s">
        <v>79</v>
      </c>
      <c r="F1139" t="s">
        <v>2632</v>
      </c>
      <c r="G1139" t="str">
        <f>"201604002275"</f>
        <v>201604002275</v>
      </c>
      <c r="H1139">
        <v>40</v>
      </c>
      <c r="I1139">
        <v>0</v>
      </c>
      <c r="J1139">
        <v>8</v>
      </c>
      <c r="M1139">
        <v>8</v>
      </c>
      <c r="N1139">
        <v>4</v>
      </c>
      <c r="O1139">
        <v>2</v>
      </c>
      <c r="P1139">
        <v>54</v>
      </c>
      <c r="Q1139">
        <v>8</v>
      </c>
      <c r="R1139">
        <v>8</v>
      </c>
      <c r="S1139">
        <v>0</v>
      </c>
      <c r="T1139">
        <v>0</v>
      </c>
      <c r="U1139">
        <v>7</v>
      </c>
      <c r="V1139">
        <v>10</v>
      </c>
      <c r="W1139">
        <v>0</v>
      </c>
      <c r="X1139">
        <v>0</v>
      </c>
      <c r="Y1139">
        <v>18</v>
      </c>
      <c r="Z1139">
        <v>6</v>
      </c>
      <c r="AA1139">
        <v>0</v>
      </c>
      <c r="AC1139">
        <v>78</v>
      </c>
    </row>
    <row r="1140" spans="1:29">
      <c r="A1140">
        <v>1133</v>
      </c>
      <c r="B1140">
        <v>1428</v>
      </c>
      <c r="C1140" t="s">
        <v>2633</v>
      </c>
      <c r="D1140" t="s">
        <v>418</v>
      </c>
      <c r="E1140" t="s">
        <v>18</v>
      </c>
      <c r="F1140" t="s">
        <v>2634</v>
      </c>
      <c r="G1140" t="str">
        <f>"201107000089"</f>
        <v>201107000089</v>
      </c>
      <c r="H1140">
        <v>36</v>
      </c>
      <c r="I1140">
        <v>10</v>
      </c>
      <c r="M1140">
        <v>0</v>
      </c>
      <c r="N1140">
        <v>0</v>
      </c>
      <c r="O1140">
        <v>2</v>
      </c>
      <c r="P1140">
        <v>48</v>
      </c>
      <c r="Q1140">
        <v>24</v>
      </c>
      <c r="R1140">
        <v>24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24</v>
      </c>
      <c r="Z1140">
        <v>6</v>
      </c>
      <c r="AA1140">
        <v>0</v>
      </c>
      <c r="AC1140">
        <v>78</v>
      </c>
    </row>
    <row r="1141" spans="1:29">
      <c r="A1141">
        <v>1134</v>
      </c>
      <c r="B1141">
        <v>1764</v>
      </c>
      <c r="C1141" t="s">
        <v>2637</v>
      </c>
      <c r="D1141" t="s">
        <v>2638</v>
      </c>
      <c r="E1141" t="s">
        <v>32</v>
      </c>
      <c r="F1141" t="s">
        <v>2639</v>
      </c>
      <c r="G1141" t="str">
        <f>"00565411"</f>
        <v>00565411</v>
      </c>
      <c r="H1141">
        <v>72</v>
      </c>
      <c r="I1141">
        <v>0</v>
      </c>
      <c r="M1141">
        <v>0</v>
      </c>
      <c r="N1141">
        <v>4</v>
      </c>
      <c r="O1141">
        <v>2</v>
      </c>
      <c r="P1141">
        <v>78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C1141">
        <v>78</v>
      </c>
    </row>
    <row r="1142" spans="1:29">
      <c r="A1142">
        <v>1135</v>
      </c>
      <c r="B1142">
        <v>4862</v>
      </c>
      <c r="C1142" t="s">
        <v>2635</v>
      </c>
      <c r="D1142" t="s">
        <v>1744</v>
      </c>
      <c r="E1142" t="s">
        <v>168</v>
      </c>
      <c r="F1142" t="s">
        <v>2636</v>
      </c>
      <c r="G1142" t="str">
        <f>"00525213"</f>
        <v>00525213</v>
      </c>
      <c r="H1142">
        <v>72</v>
      </c>
      <c r="I1142">
        <v>0</v>
      </c>
      <c r="M1142">
        <v>0</v>
      </c>
      <c r="N1142">
        <v>4</v>
      </c>
      <c r="O1142">
        <v>2</v>
      </c>
      <c r="P1142">
        <v>78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C1142">
        <v>78</v>
      </c>
    </row>
    <row r="1143" spans="1:29">
      <c r="A1143">
        <v>1136</v>
      </c>
      <c r="B1143">
        <v>4836</v>
      </c>
      <c r="C1143" t="s">
        <v>2640</v>
      </c>
      <c r="D1143" t="s">
        <v>164</v>
      </c>
      <c r="E1143" t="s">
        <v>36</v>
      </c>
      <c r="F1143" t="s">
        <v>2641</v>
      </c>
      <c r="G1143" t="str">
        <f>"00115785"</f>
        <v>00115785</v>
      </c>
      <c r="H1143">
        <v>36</v>
      </c>
      <c r="I1143">
        <v>0</v>
      </c>
      <c r="M1143">
        <v>0</v>
      </c>
      <c r="N1143">
        <v>4</v>
      </c>
      <c r="O1143">
        <v>2</v>
      </c>
      <c r="P1143">
        <v>42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9</v>
      </c>
      <c r="AA1143">
        <v>26.8</v>
      </c>
      <c r="AC1143">
        <v>77.8</v>
      </c>
    </row>
    <row r="1144" spans="1:29">
      <c r="A1144">
        <v>1137</v>
      </c>
      <c r="B1144">
        <v>1951</v>
      </c>
      <c r="C1144" t="s">
        <v>2642</v>
      </c>
      <c r="D1144" t="s">
        <v>27</v>
      </c>
      <c r="E1144" t="s">
        <v>79</v>
      </c>
      <c r="F1144" t="s">
        <v>2643</v>
      </c>
      <c r="G1144" t="str">
        <f>"00485183"</f>
        <v>00485183</v>
      </c>
      <c r="H1144">
        <v>33.799999999999997</v>
      </c>
      <c r="I1144">
        <v>0</v>
      </c>
      <c r="M1144">
        <v>0</v>
      </c>
      <c r="N1144">
        <v>4</v>
      </c>
      <c r="O1144">
        <v>0</v>
      </c>
      <c r="P1144">
        <v>37.799999999999997</v>
      </c>
      <c r="Q1144">
        <v>31</v>
      </c>
      <c r="R1144">
        <v>31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31</v>
      </c>
      <c r="Z1144">
        <v>9</v>
      </c>
      <c r="AA1144">
        <v>0</v>
      </c>
      <c r="AC1144">
        <v>77.8</v>
      </c>
    </row>
    <row r="1145" spans="1:29">
      <c r="A1145">
        <v>1138</v>
      </c>
      <c r="B1145">
        <v>175</v>
      </c>
      <c r="C1145" t="s">
        <v>1605</v>
      </c>
      <c r="D1145" t="s">
        <v>739</v>
      </c>
      <c r="E1145" t="s">
        <v>79</v>
      </c>
      <c r="F1145" t="s">
        <v>2644</v>
      </c>
      <c r="G1145" t="str">
        <f>"00016351"</f>
        <v>00016351</v>
      </c>
      <c r="H1145">
        <v>28.8</v>
      </c>
      <c r="I1145">
        <v>0</v>
      </c>
      <c r="J1145">
        <v>8</v>
      </c>
      <c r="M1145">
        <v>8</v>
      </c>
      <c r="N1145">
        <v>4</v>
      </c>
      <c r="O1145">
        <v>2</v>
      </c>
      <c r="P1145">
        <v>42.8</v>
      </c>
      <c r="Q1145">
        <v>29</v>
      </c>
      <c r="R1145">
        <v>29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29</v>
      </c>
      <c r="Z1145">
        <v>6</v>
      </c>
      <c r="AA1145">
        <v>0</v>
      </c>
      <c r="AC1145">
        <v>77.8</v>
      </c>
    </row>
    <row r="1146" spans="1:29">
      <c r="A1146">
        <v>1139</v>
      </c>
      <c r="B1146">
        <v>2287</v>
      </c>
      <c r="C1146" t="s">
        <v>2077</v>
      </c>
      <c r="D1146" t="s">
        <v>130</v>
      </c>
      <c r="E1146" t="s">
        <v>2645</v>
      </c>
      <c r="F1146" t="s">
        <v>2646</v>
      </c>
      <c r="G1146" t="str">
        <f>"201201000089"</f>
        <v>201201000089</v>
      </c>
      <c r="H1146">
        <v>28.8</v>
      </c>
      <c r="I1146">
        <v>10</v>
      </c>
      <c r="M1146">
        <v>0</v>
      </c>
      <c r="N1146">
        <v>4</v>
      </c>
      <c r="O1146">
        <v>0</v>
      </c>
      <c r="P1146">
        <v>42.8</v>
      </c>
      <c r="Q1146">
        <v>35</v>
      </c>
      <c r="R1146">
        <v>35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35</v>
      </c>
      <c r="Z1146">
        <v>0</v>
      </c>
      <c r="AA1146">
        <v>0</v>
      </c>
      <c r="AC1146">
        <v>77.8</v>
      </c>
    </row>
    <row r="1147" spans="1:29">
      <c r="A1147">
        <v>1140</v>
      </c>
      <c r="B1147">
        <v>2043</v>
      </c>
      <c r="C1147" t="s">
        <v>2647</v>
      </c>
      <c r="D1147" t="s">
        <v>820</v>
      </c>
      <c r="E1147" t="s">
        <v>156</v>
      </c>
      <c r="F1147" t="s">
        <v>2648</v>
      </c>
      <c r="G1147" t="str">
        <f>"00520525"</f>
        <v>00520525</v>
      </c>
      <c r="H1147">
        <v>28.8</v>
      </c>
      <c r="I1147">
        <v>0</v>
      </c>
      <c r="K1147">
        <v>6</v>
      </c>
      <c r="M1147">
        <v>6</v>
      </c>
      <c r="N1147">
        <v>4</v>
      </c>
      <c r="O1147">
        <v>2</v>
      </c>
      <c r="P1147">
        <v>40.799999999999997</v>
      </c>
      <c r="Q1147">
        <v>37</v>
      </c>
      <c r="R1147">
        <v>37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37</v>
      </c>
      <c r="Z1147">
        <v>0</v>
      </c>
      <c r="AA1147">
        <v>0</v>
      </c>
      <c r="AC1147">
        <v>77.8</v>
      </c>
    </row>
    <row r="1148" spans="1:29">
      <c r="A1148">
        <v>1141</v>
      </c>
      <c r="B1148">
        <v>631</v>
      </c>
      <c r="C1148" t="s">
        <v>2649</v>
      </c>
      <c r="D1148" t="s">
        <v>2650</v>
      </c>
      <c r="E1148" t="s">
        <v>122</v>
      </c>
      <c r="F1148" t="s">
        <v>2651</v>
      </c>
      <c r="G1148" t="str">
        <f>"00162058"</f>
        <v>00162058</v>
      </c>
      <c r="H1148">
        <v>28.8</v>
      </c>
      <c r="I1148">
        <v>0</v>
      </c>
      <c r="M1148">
        <v>0</v>
      </c>
      <c r="N1148">
        <v>4</v>
      </c>
      <c r="O1148">
        <v>2</v>
      </c>
      <c r="P1148">
        <v>34.799999999999997</v>
      </c>
      <c r="Q1148">
        <v>23</v>
      </c>
      <c r="R1148">
        <v>23</v>
      </c>
      <c r="S1148">
        <v>10</v>
      </c>
      <c r="T1148">
        <v>20</v>
      </c>
      <c r="U1148">
        <v>0</v>
      </c>
      <c r="V1148">
        <v>0</v>
      </c>
      <c r="W1148">
        <v>0</v>
      </c>
      <c r="X1148">
        <v>0</v>
      </c>
      <c r="Y1148">
        <v>43</v>
      </c>
      <c r="Z1148">
        <v>0</v>
      </c>
      <c r="AA1148">
        <v>0</v>
      </c>
      <c r="AC1148">
        <v>77.8</v>
      </c>
    </row>
    <row r="1149" spans="1:29">
      <c r="A1149">
        <v>1142</v>
      </c>
      <c r="B1149">
        <v>44</v>
      </c>
      <c r="C1149" t="s">
        <v>2652</v>
      </c>
      <c r="D1149" t="s">
        <v>52</v>
      </c>
      <c r="E1149" t="s">
        <v>36</v>
      </c>
      <c r="F1149" t="s">
        <v>2653</v>
      </c>
      <c r="G1149" t="str">
        <f>"00483491"</f>
        <v>00483491</v>
      </c>
      <c r="H1149">
        <v>28.8</v>
      </c>
      <c r="I1149">
        <v>0</v>
      </c>
      <c r="M1149">
        <v>0</v>
      </c>
      <c r="N1149">
        <v>4</v>
      </c>
      <c r="O1149">
        <v>2</v>
      </c>
      <c r="P1149">
        <v>34.799999999999997</v>
      </c>
      <c r="Q1149">
        <v>43</v>
      </c>
      <c r="R1149">
        <v>43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43</v>
      </c>
      <c r="Z1149">
        <v>0</v>
      </c>
      <c r="AA1149">
        <v>0</v>
      </c>
      <c r="AC1149">
        <v>77.8</v>
      </c>
    </row>
    <row r="1150" spans="1:29">
      <c r="A1150">
        <v>1143</v>
      </c>
      <c r="B1150">
        <v>4621</v>
      </c>
      <c r="C1150" t="s">
        <v>2656</v>
      </c>
      <c r="D1150" t="s">
        <v>35</v>
      </c>
      <c r="E1150" t="s">
        <v>50</v>
      </c>
      <c r="F1150" t="s">
        <v>2657</v>
      </c>
      <c r="G1150" t="str">
        <f>"00198485"</f>
        <v>00198485</v>
      </c>
      <c r="H1150">
        <v>57.6</v>
      </c>
      <c r="I1150">
        <v>0</v>
      </c>
      <c r="J1150">
        <v>8</v>
      </c>
      <c r="M1150">
        <v>8</v>
      </c>
      <c r="N1150">
        <v>4</v>
      </c>
      <c r="O1150">
        <v>2</v>
      </c>
      <c r="P1150">
        <v>71.599999999999994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6</v>
      </c>
      <c r="AA1150">
        <v>0</v>
      </c>
      <c r="AC1150">
        <v>77.599999999999994</v>
      </c>
    </row>
    <row r="1151" spans="1:29">
      <c r="A1151">
        <v>1144</v>
      </c>
      <c r="B1151">
        <v>3004</v>
      </c>
      <c r="C1151" t="s">
        <v>2654</v>
      </c>
      <c r="D1151" t="s">
        <v>39</v>
      </c>
      <c r="E1151" t="s">
        <v>233</v>
      </c>
      <c r="F1151" t="s">
        <v>2655</v>
      </c>
      <c r="G1151" t="str">
        <f>"00205276"</f>
        <v>00205276</v>
      </c>
      <c r="H1151">
        <v>57.6</v>
      </c>
      <c r="I1151">
        <v>0</v>
      </c>
      <c r="J1151">
        <v>8</v>
      </c>
      <c r="M1151">
        <v>8</v>
      </c>
      <c r="N1151">
        <v>4</v>
      </c>
      <c r="O1151">
        <v>2</v>
      </c>
      <c r="P1151">
        <v>71.599999999999994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6</v>
      </c>
      <c r="AA1151">
        <v>0</v>
      </c>
      <c r="AC1151">
        <v>77.599999999999994</v>
      </c>
    </row>
    <row r="1152" spans="1:29">
      <c r="A1152">
        <v>1145</v>
      </c>
      <c r="B1152">
        <v>2264</v>
      </c>
      <c r="C1152" t="s">
        <v>2658</v>
      </c>
      <c r="D1152" t="s">
        <v>2659</v>
      </c>
      <c r="E1152" t="s">
        <v>115</v>
      </c>
      <c r="F1152" t="s">
        <v>2660</v>
      </c>
      <c r="G1152" t="str">
        <f>"00441614"</f>
        <v>00441614</v>
      </c>
      <c r="H1152">
        <v>21.6</v>
      </c>
      <c r="I1152">
        <v>10</v>
      </c>
      <c r="M1152">
        <v>0</v>
      </c>
      <c r="N1152">
        <v>0</v>
      </c>
      <c r="O1152">
        <v>2</v>
      </c>
      <c r="P1152">
        <v>33.6</v>
      </c>
      <c r="Q1152">
        <v>38</v>
      </c>
      <c r="R1152">
        <v>38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38</v>
      </c>
      <c r="Z1152">
        <v>6</v>
      </c>
      <c r="AA1152">
        <v>0</v>
      </c>
      <c r="AC1152">
        <v>77.599999999999994</v>
      </c>
    </row>
    <row r="1153" spans="1:29">
      <c r="A1153">
        <v>1146</v>
      </c>
      <c r="B1153">
        <v>2371</v>
      </c>
      <c r="C1153" t="s">
        <v>2661</v>
      </c>
      <c r="D1153" t="s">
        <v>733</v>
      </c>
      <c r="E1153" t="s">
        <v>647</v>
      </c>
      <c r="F1153" t="s">
        <v>2662</v>
      </c>
      <c r="G1153" t="str">
        <f>"00531957"</f>
        <v>00531957</v>
      </c>
      <c r="H1153">
        <v>21.6</v>
      </c>
      <c r="I1153">
        <v>0</v>
      </c>
      <c r="M1153">
        <v>0</v>
      </c>
      <c r="N1153">
        <v>0</v>
      </c>
      <c r="O1153">
        <v>0</v>
      </c>
      <c r="P1153">
        <v>21.6</v>
      </c>
      <c r="Q1153">
        <v>50</v>
      </c>
      <c r="R1153">
        <v>50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50</v>
      </c>
      <c r="Z1153">
        <v>6</v>
      </c>
      <c r="AA1153">
        <v>0</v>
      </c>
      <c r="AC1153">
        <v>77.599999999999994</v>
      </c>
    </row>
    <row r="1154" spans="1:29">
      <c r="A1154">
        <v>1147</v>
      </c>
      <c r="B1154">
        <v>3787</v>
      </c>
      <c r="C1154" t="s">
        <v>2663</v>
      </c>
      <c r="D1154" t="s">
        <v>1208</v>
      </c>
      <c r="E1154" t="s">
        <v>79</v>
      </c>
      <c r="F1154" t="s">
        <v>2664</v>
      </c>
      <c r="G1154" t="str">
        <f>"00864636"</f>
        <v>00864636</v>
      </c>
      <c r="H1154">
        <v>57.6</v>
      </c>
      <c r="I1154">
        <v>10</v>
      </c>
      <c r="L1154">
        <v>4</v>
      </c>
      <c r="M1154">
        <v>4</v>
      </c>
      <c r="N1154">
        <v>4</v>
      </c>
      <c r="O1154">
        <v>2</v>
      </c>
      <c r="P1154">
        <v>77.599999999999994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C1154">
        <v>77.599999999999994</v>
      </c>
    </row>
    <row r="1155" spans="1:29">
      <c r="A1155">
        <v>1148</v>
      </c>
      <c r="B1155">
        <v>2707</v>
      </c>
      <c r="C1155" t="s">
        <v>2665</v>
      </c>
      <c r="D1155" t="s">
        <v>86</v>
      </c>
      <c r="E1155" t="s">
        <v>2230</v>
      </c>
      <c r="F1155" t="s">
        <v>2666</v>
      </c>
      <c r="G1155" t="str">
        <f>"00305075"</f>
        <v>00305075</v>
      </c>
      <c r="H1155">
        <v>37.6</v>
      </c>
      <c r="I1155">
        <v>10</v>
      </c>
      <c r="J1155">
        <v>8</v>
      </c>
      <c r="M1155">
        <v>8</v>
      </c>
      <c r="N1155">
        <v>4</v>
      </c>
      <c r="O1155">
        <v>0</v>
      </c>
      <c r="P1155">
        <v>59.6</v>
      </c>
      <c r="Q1155">
        <v>18</v>
      </c>
      <c r="R1155">
        <v>18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18</v>
      </c>
      <c r="Z1155">
        <v>0</v>
      </c>
      <c r="AA1155">
        <v>0</v>
      </c>
      <c r="AC1155">
        <v>77.599999999999994</v>
      </c>
    </row>
    <row r="1156" spans="1:29">
      <c r="A1156">
        <v>1149</v>
      </c>
      <c r="B1156">
        <v>860</v>
      </c>
      <c r="C1156" t="s">
        <v>2667</v>
      </c>
      <c r="D1156" t="s">
        <v>24</v>
      </c>
      <c r="E1156" t="s">
        <v>644</v>
      </c>
      <c r="F1156" t="s">
        <v>2668</v>
      </c>
      <c r="G1156" t="str">
        <f>"00530970"</f>
        <v>00530970</v>
      </c>
      <c r="H1156">
        <v>39.6</v>
      </c>
      <c r="I1156">
        <v>0</v>
      </c>
      <c r="L1156">
        <v>4</v>
      </c>
      <c r="M1156">
        <v>4</v>
      </c>
      <c r="N1156">
        <v>0</v>
      </c>
      <c r="O1156">
        <v>2</v>
      </c>
      <c r="P1156">
        <v>45.6</v>
      </c>
      <c r="Q1156">
        <v>32</v>
      </c>
      <c r="R1156">
        <v>32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32</v>
      </c>
      <c r="Z1156">
        <v>0</v>
      </c>
      <c r="AA1156">
        <v>0</v>
      </c>
      <c r="AC1156">
        <v>77.599999999999994</v>
      </c>
    </row>
    <row r="1157" spans="1:29">
      <c r="A1157">
        <v>1150</v>
      </c>
      <c r="B1157">
        <v>2855</v>
      </c>
      <c r="C1157" t="s">
        <v>2669</v>
      </c>
      <c r="D1157" t="s">
        <v>24</v>
      </c>
      <c r="E1157" t="s">
        <v>18</v>
      </c>
      <c r="F1157" t="s">
        <v>2670</v>
      </c>
      <c r="G1157" t="str">
        <f>"00529855"</f>
        <v>00529855</v>
      </c>
      <c r="H1157">
        <v>14.4</v>
      </c>
      <c r="I1157">
        <v>0</v>
      </c>
      <c r="M1157">
        <v>0</v>
      </c>
      <c r="N1157">
        <v>4</v>
      </c>
      <c r="O1157">
        <v>2</v>
      </c>
      <c r="P1157">
        <v>20.399999999999999</v>
      </c>
      <c r="Q1157">
        <v>51</v>
      </c>
      <c r="R1157">
        <v>51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51</v>
      </c>
      <c r="Z1157">
        <v>6</v>
      </c>
      <c r="AA1157">
        <v>0</v>
      </c>
      <c r="AC1157">
        <v>77.400000000000006</v>
      </c>
    </row>
    <row r="1158" spans="1:29">
      <c r="A1158">
        <v>1151</v>
      </c>
      <c r="B1158">
        <v>1531</v>
      </c>
      <c r="C1158" t="s">
        <v>2671</v>
      </c>
      <c r="D1158" t="s">
        <v>39</v>
      </c>
      <c r="E1158" t="s">
        <v>134</v>
      </c>
      <c r="F1158" t="s">
        <v>2672</v>
      </c>
      <c r="G1158" t="str">
        <f>"00456249"</f>
        <v>00456249</v>
      </c>
      <c r="H1158">
        <v>50.4</v>
      </c>
      <c r="I1158">
        <v>10</v>
      </c>
      <c r="J1158">
        <v>8</v>
      </c>
      <c r="M1158">
        <v>8</v>
      </c>
      <c r="N1158">
        <v>4</v>
      </c>
      <c r="O1158">
        <v>2</v>
      </c>
      <c r="P1158">
        <v>74.400000000000006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3</v>
      </c>
      <c r="AA1158">
        <v>0</v>
      </c>
      <c r="AC1158">
        <v>77.400000000000006</v>
      </c>
    </row>
    <row r="1159" spans="1:29">
      <c r="A1159">
        <v>1152</v>
      </c>
      <c r="B1159">
        <v>1238</v>
      </c>
      <c r="C1159" t="s">
        <v>2673</v>
      </c>
      <c r="D1159" t="s">
        <v>2545</v>
      </c>
      <c r="E1159" t="s">
        <v>156</v>
      </c>
      <c r="F1159" t="s">
        <v>2674</v>
      </c>
      <c r="G1159" t="str">
        <f>"00521800"</f>
        <v>00521800</v>
      </c>
      <c r="H1159">
        <v>50.4</v>
      </c>
      <c r="I1159">
        <v>0</v>
      </c>
      <c r="M1159">
        <v>0</v>
      </c>
      <c r="N1159">
        <v>4</v>
      </c>
      <c r="O1159">
        <v>2</v>
      </c>
      <c r="P1159">
        <v>56.4</v>
      </c>
      <c r="Q1159">
        <v>18</v>
      </c>
      <c r="R1159">
        <v>18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18</v>
      </c>
      <c r="Z1159">
        <v>3</v>
      </c>
      <c r="AA1159">
        <v>0</v>
      </c>
      <c r="AC1159">
        <v>77.400000000000006</v>
      </c>
    </row>
    <row r="1160" spans="1:29">
      <c r="A1160">
        <v>1153</v>
      </c>
      <c r="B1160">
        <v>3830</v>
      </c>
      <c r="C1160" t="s">
        <v>2675</v>
      </c>
      <c r="D1160" t="s">
        <v>86</v>
      </c>
      <c r="E1160" t="s">
        <v>15</v>
      </c>
      <c r="F1160" t="s">
        <v>2676</v>
      </c>
      <c r="G1160" t="str">
        <f>"200802004419"</f>
        <v>200802004419</v>
      </c>
      <c r="H1160">
        <v>35.4</v>
      </c>
      <c r="I1160">
        <v>0</v>
      </c>
      <c r="L1160">
        <v>4</v>
      </c>
      <c r="M1160">
        <v>4</v>
      </c>
      <c r="N1160">
        <v>4</v>
      </c>
      <c r="O1160">
        <v>0</v>
      </c>
      <c r="P1160">
        <v>43.4</v>
      </c>
      <c r="Q1160">
        <v>31</v>
      </c>
      <c r="R1160">
        <v>31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31</v>
      </c>
      <c r="Z1160">
        <v>3</v>
      </c>
      <c r="AA1160">
        <v>0</v>
      </c>
      <c r="AC1160">
        <v>77.400000000000006</v>
      </c>
    </row>
    <row r="1161" spans="1:29">
      <c r="A1161">
        <v>1154</v>
      </c>
      <c r="B1161">
        <v>4768</v>
      </c>
      <c r="C1161" t="s">
        <v>2677</v>
      </c>
      <c r="D1161" t="s">
        <v>52</v>
      </c>
      <c r="E1161" t="s">
        <v>79</v>
      </c>
      <c r="F1161" t="s">
        <v>2678</v>
      </c>
      <c r="G1161" t="str">
        <f>"00159762"</f>
        <v>00159762</v>
      </c>
      <c r="H1161">
        <v>38.200000000000003</v>
      </c>
      <c r="I1161">
        <v>0</v>
      </c>
      <c r="L1161">
        <v>4</v>
      </c>
      <c r="M1161">
        <v>4</v>
      </c>
      <c r="N1161">
        <v>4</v>
      </c>
      <c r="O1161">
        <v>0</v>
      </c>
      <c r="P1161">
        <v>46.2</v>
      </c>
      <c r="Q1161">
        <v>19</v>
      </c>
      <c r="R1161">
        <v>19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19</v>
      </c>
      <c r="Z1161">
        <v>12</v>
      </c>
      <c r="AA1161">
        <v>0</v>
      </c>
      <c r="AC1161">
        <v>77.2</v>
      </c>
    </row>
    <row r="1162" spans="1:29">
      <c r="A1162">
        <v>1155</v>
      </c>
      <c r="B1162">
        <v>797</v>
      </c>
      <c r="C1162" t="s">
        <v>2679</v>
      </c>
      <c r="D1162" t="s">
        <v>185</v>
      </c>
      <c r="E1162" t="s">
        <v>15</v>
      </c>
      <c r="F1162" t="s">
        <v>2680</v>
      </c>
      <c r="G1162" t="str">
        <f>"201511019917"</f>
        <v>201511019917</v>
      </c>
      <c r="H1162">
        <v>43.2</v>
      </c>
      <c r="I1162">
        <v>0</v>
      </c>
      <c r="L1162">
        <v>4</v>
      </c>
      <c r="M1162">
        <v>4</v>
      </c>
      <c r="N1162">
        <v>4</v>
      </c>
      <c r="O1162">
        <v>2</v>
      </c>
      <c r="P1162">
        <v>53.2</v>
      </c>
      <c r="Q1162">
        <v>18</v>
      </c>
      <c r="R1162">
        <v>18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18</v>
      </c>
      <c r="Z1162">
        <v>6</v>
      </c>
      <c r="AA1162">
        <v>0</v>
      </c>
      <c r="AC1162">
        <v>77.2</v>
      </c>
    </row>
    <row r="1163" spans="1:29">
      <c r="A1163">
        <v>1156</v>
      </c>
      <c r="B1163">
        <v>534</v>
      </c>
      <c r="C1163" t="s">
        <v>2682</v>
      </c>
      <c r="D1163" t="s">
        <v>130</v>
      </c>
      <c r="E1163" t="s">
        <v>15</v>
      </c>
      <c r="F1163" t="s">
        <v>2683</v>
      </c>
      <c r="G1163" t="str">
        <f>"00292478"</f>
        <v>00292478</v>
      </c>
      <c r="H1163">
        <v>43.2</v>
      </c>
      <c r="I1163">
        <v>10</v>
      </c>
      <c r="M1163">
        <v>0</v>
      </c>
      <c r="N1163">
        <v>4</v>
      </c>
      <c r="O1163">
        <v>2</v>
      </c>
      <c r="P1163">
        <v>59.2</v>
      </c>
      <c r="Q1163">
        <v>18</v>
      </c>
      <c r="R1163">
        <v>18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18</v>
      </c>
      <c r="Z1163">
        <v>0</v>
      </c>
      <c r="AA1163">
        <v>0</v>
      </c>
      <c r="AC1163">
        <v>77.2</v>
      </c>
    </row>
    <row r="1164" spans="1:29">
      <c r="A1164">
        <v>1157</v>
      </c>
      <c r="B1164">
        <v>203</v>
      </c>
      <c r="C1164" t="s">
        <v>1771</v>
      </c>
      <c r="D1164" t="s">
        <v>544</v>
      </c>
      <c r="E1164" t="s">
        <v>15</v>
      </c>
      <c r="F1164" t="s">
        <v>2681</v>
      </c>
      <c r="G1164" t="str">
        <f>"00533363"</f>
        <v>00533363</v>
      </c>
      <c r="H1164">
        <v>43.2</v>
      </c>
      <c r="I1164">
        <v>10</v>
      </c>
      <c r="L1164">
        <v>4</v>
      </c>
      <c r="M1164">
        <v>4</v>
      </c>
      <c r="N1164">
        <v>0</v>
      </c>
      <c r="O1164">
        <v>2</v>
      </c>
      <c r="P1164">
        <v>59.2</v>
      </c>
      <c r="Q1164">
        <v>18</v>
      </c>
      <c r="R1164">
        <v>18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18</v>
      </c>
      <c r="Z1164">
        <v>0</v>
      </c>
      <c r="AA1164">
        <v>0</v>
      </c>
      <c r="AC1164">
        <v>77.2</v>
      </c>
    </row>
    <row r="1165" spans="1:29">
      <c r="A1165">
        <v>1158</v>
      </c>
      <c r="B1165">
        <v>19</v>
      </c>
      <c r="C1165" t="s">
        <v>2684</v>
      </c>
      <c r="D1165" t="s">
        <v>95</v>
      </c>
      <c r="E1165" t="s">
        <v>36</v>
      </c>
      <c r="F1165" t="s">
        <v>2685</v>
      </c>
      <c r="G1165" t="str">
        <f>"201511016849"</f>
        <v>201511016849</v>
      </c>
      <c r="H1165">
        <v>39.200000000000003</v>
      </c>
      <c r="I1165">
        <v>10</v>
      </c>
      <c r="L1165">
        <v>4</v>
      </c>
      <c r="M1165">
        <v>4</v>
      </c>
      <c r="N1165">
        <v>4</v>
      </c>
      <c r="O1165">
        <v>2</v>
      </c>
      <c r="P1165">
        <v>59.2</v>
      </c>
      <c r="Q1165">
        <v>18</v>
      </c>
      <c r="R1165">
        <v>18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18</v>
      </c>
      <c r="Z1165">
        <v>0</v>
      </c>
      <c r="AA1165">
        <v>0</v>
      </c>
      <c r="AC1165">
        <v>77.2</v>
      </c>
    </row>
    <row r="1166" spans="1:29">
      <c r="A1166">
        <v>1159</v>
      </c>
      <c r="B1166">
        <v>1477</v>
      </c>
      <c r="C1166" t="s">
        <v>2686</v>
      </c>
      <c r="D1166" t="s">
        <v>24</v>
      </c>
      <c r="E1166" t="s">
        <v>2687</v>
      </c>
      <c r="F1166" t="s">
        <v>2688</v>
      </c>
      <c r="G1166" t="str">
        <f>"00509248"</f>
        <v>00509248</v>
      </c>
      <c r="H1166">
        <v>43.2</v>
      </c>
      <c r="I1166">
        <v>0</v>
      </c>
      <c r="M1166">
        <v>0</v>
      </c>
      <c r="N1166">
        <v>0</v>
      </c>
      <c r="O1166">
        <v>0</v>
      </c>
      <c r="P1166">
        <v>43.2</v>
      </c>
      <c r="Q1166">
        <v>34</v>
      </c>
      <c r="R1166">
        <v>34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34</v>
      </c>
      <c r="Z1166">
        <v>0</v>
      </c>
      <c r="AA1166">
        <v>0</v>
      </c>
      <c r="AC1166">
        <v>77.2</v>
      </c>
    </row>
    <row r="1167" spans="1:29">
      <c r="A1167">
        <v>1160</v>
      </c>
      <c r="B1167">
        <v>2889</v>
      </c>
      <c r="C1167" t="s">
        <v>2689</v>
      </c>
      <c r="D1167" t="s">
        <v>2690</v>
      </c>
      <c r="E1167" t="s">
        <v>165</v>
      </c>
      <c r="F1167" t="s">
        <v>2691</v>
      </c>
      <c r="G1167" t="str">
        <f>"00559515"</f>
        <v>00559515</v>
      </c>
      <c r="H1167">
        <v>43.2</v>
      </c>
      <c r="I1167">
        <v>0</v>
      </c>
      <c r="M1167">
        <v>0</v>
      </c>
      <c r="N1167">
        <v>4</v>
      </c>
      <c r="O1167">
        <v>0</v>
      </c>
      <c r="P1167">
        <v>47.2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3</v>
      </c>
      <c r="AA1167">
        <v>26.8</v>
      </c>
      <c r="AC1167">
        <v>77</v>
      </c>
    </row>
    <row r="1168" spans="1:29">
      <c r="A1168">
        <v>1161</v>
      </c>
      <c r="B1168">
        <v>2988</v>
      </c>
      <c r="C1168" t="s">
        <v>2692</v>
      </c>
      <c r="D1168" t="s">
        <v>159</v>
      </c>
      <c r="E1168" t="s">
        <v>28</v>
      </c>
      <c r="F1168" t="s">
        <v>2693</v>
      </c>
      <c r="G1168" t="str">
        <f>"00462114"</f>
        <v>00462114</v>
      </c>
      <c r="H1168">
        <v>26.92</v>
      </c>
      <c r="I1168">
        <v>10</v>
      </c>
      <c r="M1168">
        <v>0</v>
      </c>
      <c r="N1168">
        <v>4</v>
      </c>
      <c r="O1168">
        <v>2</v>
      </c>
      <c r="P1168">
        <v>42.92</v>
      </c>
      <c r="Q1168">
        <v>7</v>
      </c>
      <c r="R1168">
        <v>7</v>
      </c>
      <c r="S1168">
        <v>9</v>
      </c>
      <c r="T1168">
        <v>18</v>
      </c>
      <c r="U1168">
        <v>0</v>
      </c>
      <c r="V1168">
        <v>0</v>
      </c>
      <c r="W1168">
        <v>0</v>
      </c>
      <c r="X1168">
        <v>0</v>
      </c>
      <c r="Y1168">
        <v>25</v>
      </c>
      <c r="Z1168">
        <v>9</v>
      </c>
      <c r="AA1168">
        <v>0</v>
      </c>
      <c r="AC1168">
        <v>76.92</v>
      </c>
    </row>
    <row r="1169" spans="1:29">
      <c r="A1169">
        <v>1162</v>
      </c>
      <c r="B1169">
        <v>4815</v>
      </c>
      <c r="C1169" t="s">
        <v>2694</v>
      </c>
      <c r="D1169" t="s">
        <v>31</v>
      </c>
      <c r="E1169" t="s">
        <v>369</v>
      </c>
      <c r="F1169" t="s">
        <v>2695</v>
      </c>
      <c r="G1169" t="str">
        <f>"201502002337"</f>
        <v>201502002337</v>
      </c>
      <c r="H1169">
        <v>24.28</v>
      </c>
      <c r="I1169">
        <v>10</v>
      </c>
      <c r="M1169">
        <v>0</v>
      </c>
      <c r="N1169">
        <v>4</v>
      </c>
      <c r="O1169">
        <v>2</v>
      </c>
      <c r="P1169">
        <v>40.28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3</v>
      </c>
      <c r="AA1169">
        <v>33.6</v>
      </c>
      <c r="AC1169">
        <v>76.88</v>
      </c>
    </row>
    <row r="1170" spans="1:29">
      <c r="A1170">
        <v>1163</v>
      </c>
      <c r="B1170">
        <v>2610</v>
      </c>
      <c r="C1170" t="s">
        <v>2696</v>
      </c>
      <c r="D1170" t="s">
        <v>159</v>
      </c>
      <c r="E1170" t="s">
        <v>79</v>
      </c>
      <c r="F1170" t="s">
        <v>2697</v>
      </c>
      <c r="G1170" t="str">
        <f>"00554253"</f>
        <v>00554253</v>
      </c>
      <c r="H1170">
        <v>64.8</v>
      </c>
      <c r="I1170">
        <v>0</v>
      </c>
      <c r="M1170">
        <v>0</v>
      </c>
      <c r="N1170">
        <v>4</v>
      </c>
      <c r="O1170">
        <v>2</v>
      </c>
      <c r="P1170">
        <v>70.8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6</v>
      </c>
      <c r="AA1170">
        <v>0</v>
      </c>
      <c r="AC1170">
        <v>76.8</v>
      </c>
    </row>
    <row r="1171" spans="1:29">
      <c r="A1171">
        <v>1164</v>
      </c>
      <c r="B1171">
        <v>4239</v>
      </c>
      <c r="C1171" t="s">
        <v>2698</v>
      </c>
      <c r="D1171" t="s">
        <v>2699</v>
      </c>
      <c r="E1171" t="s">
        <v>2700</v>
      </c>
      <c r="F1171" t="s">
        <v>2701</v>
      </c>
      <c r="G1171" t="str">
        <f>"00523273"</f>
        <v>00523273</v>
      </c>
      <c r="H1171">
        <v>28.8</v>
      </c>
      <c r="I1171">
        <v>10</v>
      </c>
      <c r="J1171">
        <v>8</v>
      </c>
      <c r="M1171">
        <v>8</v>
      </c>
      <c r="N1171">
        <v>4</v>
      </c>
      <c r="O1171">
        <v>2</v>
      </c>
      <c r="P1171">
        <v>52.8</v>
      </c>
      <c r="Q1171">
        <v>18</v>
      </c>
      <c r="R1171">
        <v>18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18</v>
      </c>
      <c r="Z1171">
        <v>6</v>
      </c>
      <c r="AA1171">
        <v>0</v>
      </c>
      <c r="AC1171">
        <v>76.8</v>
      </c>
    </row>
    <row r="1172" spans="1:29">
      <c r="A1172">
        <v>1165</v>
      </c>
      <c r="B1172">
        <v>2619</v>
      </c>
      <c r="C1172" t="s">
        <v>2702</v>
      </c>
      <c r="D1172" t="s">
        <v>248</v>
      </c>
      <c r="E1172" t="s">
        <v>36</v>
      </c>
      <c r="F1172" t="s">
        <v>2703</v>
      </c>
      <c r="G1172" t="str">
        <f>"00162256"</f>
        <v>00162256</v>
      </c>
      <c r="H1172">
        <v>28.8</v>
      </c>
      <c r="I1172">
        <v>10</v>
      </c>
      <c r="M1172">
        <v>0</v>
      </c>
      <c r="N1172">
        <v>0</v>
      </c>
      <c r="O1172">
        <v>0</v>
      </c>
      <c r="P1172">
        <v>38.799999999999997</v>
      </c>
      <c r="Q1172">
        <v>32</v>
      </c>
      <c r="R1172">
        <v>32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32</v>
      </c>
      <c r="Z1172">
        <v>6</v>
      </c>
      <c r="AA1172">
        <v>0</v>
      </c>
      <c r="AC1172">
        <v>76.8</v>
      </c>
    </row>
    <row r="1173" spans="1:29">
      <c r="A1173">
        <v>1166</v>
      </c>
      <c r="B1173">
        <v>576</v>
      </c>
      <c r="C1173" t="s">
        <v>2704</v>
      </c>
      <c r="D1173" t="s">
        <v>86</v>
      </c>
      <c r="E1173" t="s">
        <v>2339</v>
      </c>
      <c r="F1173" t="s">
        <v>2705</v>
      </c>
      <c r="G1173" t="str">
        <f>"201507000166"</f>
        <v>201507000166</v>
      </c>
      <c r="H1173">
        <v>64.8</v>
      </c>
      <c r="I1173">
        <v>0</v>
      </c>
      <c r="J1173">
        <v>8</v>
      </c>
      <c r="M1173">
        <v>8</v>
      </c>
      <c r="N1173">
        <v>4</v>
      </c>
      <c r="O1173">
        <v>0</v>
      </c>
      <c r="P1173">
        <v>76.8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C1173">
        <v>76.8</v>
      </c>
    </row>
    <row r="1174" spans="1:29">
      <c r="A1174">
        <v>1167</v>
      </c>
      <c r="B1174">
        <v>4619</v>
      </c>
      <c r="C1174" t="s">
        <v>2708</v>
      </c>
      <c r="D1174" t="s">
        <v>2709</v>
      </c>
      <c r="E1174" t="s">
        <v>889</v>
      </c>
      <c r="F1174" t="s">
        <v>2710</v>
      </c>
      <c r="G1174" t="str">
        <f>"00531397"</f>
        <v>00531397</v>
      </c>
      <c r="H1174">
        <v>64.8</v>
      </c>
      <c r="I1174">
        <v>0</v>
      </c>
      <c r="J1174">
        <v>8</v>
      </c>
      <c r="M1174">
        <v>8</v>
      </c>
      <c r="N1174">
        <v>4</v>
      </c>
      <c r="O1174">
        <v>0</v>
      </c>
      <c r="P1174">
        <v>76.8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C1174">
        <v>76.8</v>
      </c>
    </row>
    <row r="1175" spans="1:29">
      <c r="A1175">
        <v>1168</v>
      </c>
      <c r="B1175">
        <v>3573</v>
      </c>
      <c r="C1175" t="s">
        <v>2706</v>
      </c>
      <c r="D1175" t="s">
        <v>95</v>
      </c>
      <c r="E1175" t="s">
        <v>15</v>
      </c>
      <c r="F1175" t="s">
        <v>2707</v>
      </c>
      <c r="G1175" t="str">
        <f>"201412000101"</f>
        <v>201412000101</v>
      </c>
      <c r="H1175">
        <v>64.8</v>
      </c>
      <c r="I1175">
        <v>0</v>
      </c>
      <c r="J1175">
        <v>8</v>
      </c>
      <c r="M1175">
        <v>8</v>
      </c>
      <c r="N1175">
        <v>4</v>
      </c>
      <c r="O1175">
        <v>0</v>
      </c>
      <c r="P1175">
        <v>76.8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C1175">
        <v>76.8</v>
      </c>
    </row>
    <row r="1176" spans="1:29">
      <c r="A1176">
        <v>1169</v>
      </c>
      <c r="B1176">
        <v>96</v>
      </c>
      <c r="C1176" t="s">
        <v>2711</v>
      </c>
      <c r="D1176" t="s">
        <v>46</v>
      </c>
      <c r="E1176" t="s">
        <v>15</v>
      </c>
      <c r="F1176" t="s">
        <v>2712</v>
      </c>
      <c r="G1176" t="str">
        <f>"00530379"</f>
        <v>00530379</v>
      </c>
      <c r="H1176">
        <v>35.72</v>
      </c>
      <c r="I1176">
        <v>10</v>
      </c>
      <c r="L1176">
        <v>4</v>
      </c>
      <c r="M1176">
        <v>4</v>
      </c>
      <c r="N1176">
        <v>4</v>
      </c>
      <c r="O1176">
        <v>0</v>
      </c>
      <c r="P1176">
        <v>53.72</v>
      </c>
      <c r="Q1176">
        <v>17</v>
      </c>
      <c r="R1176">
        <v>17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17</v>
      </c>
      <c r="Z1176">
        <v>6</v>
      </c>
      <c r="AA1176">
        <v>0</v>
      </c>
      <c r="AC1176">
        <v>76.72</v>
      </c>
    </row>
    <row r="1177" spans="1:29">
      <c r="A1177">
        <v>1170</v>
      </c>
      <c r="B1177">
        <v>3569</v>
      </c>
      <c r="C1177" t="s">
        <v>2713</v>
      </c>
      <c r="D1177" t="s">
        <v>2714</v>
      </c>
      <c r="E1177" t="s">
        <v>237</v>
      </c>
      <c r="F1177" t="s">
        <v>2715</v>
      </c>
      <c r="G1177" t="str">
        <f>"00493728"</f>
        <v>00493728</v>
      </c>
      <c r="H1177">
        <v>31.72</v>
      </c>
      <c r="I1177">
        <v>10</v>
      </c>
      <c r="M1177">
        <v>0</v>
      </c>
      <c r="N1177">
        <v>4</v>
      </c>
      <c r="O1177">
        <v>2</v>
      </c>
      <c r="P1177">
        <v>47.72</v>
      </c>
      <c r="Q1177">
        <v>23</v>
      </c>
      <c r="R1177">
        <v>23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23</v>
      </c>
      <c r="Z1177">
        <v>6</v>
      </c>
      <c r="AA1177">
        <v>0</v>
      </c>
      <c r="AC1177">
        <v>76.72</v>
      </c>
    </row>
    <row r="1178" spans="1:29">
      <c r="A1178">
        <v>1171</v>
      </c>
      <c r="B1178">
        <v>1813</v>
      </c>
      <c r="C1178" t="s">
        <v>2716</v>
      </c>
      <c r="D1178" t="s">
        <v>465</v>
      </c>
      <c r="E1178" t="s">
        <v>2717</v>
      </c>
      <c r="F1178" t="s">
        <v>2718</v>
      </c>
      <c r="G1178" t="str">
        <f>"00497819"</f>
        <v>00497819</v>
      </c>
      <c r="H1178">
        <v>31.72</v>
      </c>
      <c r="I1178">
        <v>0</v>
      </c>
      <c r="M1178">
        <v>0</v>
      </c>
      <c r="N1178">
        <v>4</v>
      </c>
      <c r="O1178">
        <v>0</v>
      </c>
      <c r="P1178">
        <v>35.72</v>
      </c>
      <c r="Q1178">
        <v>38</v>
      </c>
      <c r="R1178">
        <v>38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38</v>
      </c>
      <c r="Z1178">
        <v>3</v>
      </c>
      <c r="AA1178">
        <v>0</v>
      </c>
      <c r="AC1178">
        <v>76.72</v>
      </c>
    </row>
    <row r="1179" spans="1:29">
      <c r="A1179">
        <v>1172</v>
      </c>
      <c r="B1179">
        <v>553</v>
      </c>
      <c r="C1179" t="s">
        <v>2719</v>
      </c>
      <c r="D1179" t="s">
        <v>167</v>
      </c>
      <c r="E1179" t="s">
        <v>32</v>
      </c>
      <c r="F1179" t="s">
        <v>2720</v>
      </c>
      <c r="G1179" t="str">
        <f>"00096209"</f>
        <v>00096209</v>
      </c>
      <c r="H1179">
        <v>35.6</v>
      </c>
      <c r="I1179">
        <v>10</v>
      </c>
      <c r="M1179">
        <v>0</v>
      </c>
      <c r="N1179">
        <v>4</v>
      </c>
      <c r="O1179">
        <v>0</v>
      </c>
      <c r="P1179">
        <v>49.6</v>
      </c>
      <c r="Q1179">
        <v>18</v>
      </c>
      <c r="R1179">
        <v>18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18</v>
      </c>
      <c r="Z1179">
        <v>9</v>
      </c>
      <c r="AA1179">
        <v>0</v>
      </c>
      <c r="AC1179">
        <v>76.599999999999994</v>
      </c>
    </row>
    <row r="1180" spans="1:29">
      <c r="A1180">
        <v>1173</v>
      </c>
      <c r="B1180">
        <v>2279</v>
      </c>
      <c r="C1180" t="s">
        <v>2721</v>
      </c>
      <c r="D1180" t="s">
        <v>2722</v>
      </c>
      <c r="E1180" t="s">
        <v>134</v>
      </c>
      <c r="F1180" t="s">
        <v>2723</v>
      </c>
      <c r="G1180" t="str">
        <f>"00527265"</f>
        <v>00527265</v>
      </c>
      <c r="H1180">
        <v>21.6</v>
      </c>
      <c r="I1180">
        <v>0</v>
      </c>
      <c r="L1180">
        <v>4</v>
      </c>
      <c r="M1180">
        <v>4</v>
      </c>
      <c r="N1180">
        <v>4</v>
      </c>
      <c r="O1180">
        <v>2</v>
      </c>
      <c r="P1180">
        <v>31.6</v>
      </c>
      <c r="Q1180">
        <v>42</v>
      </c>
      <c r="R1180">
        <v>42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42</v>
      </c>
      <c r="Z1180">
        <v>3</v>
      </c>
      <c r="AA1180">
        <v>0</v>
      </c>
      <c r="AC1180">
        <v>76.599999999999994</v>
      </c>
    </row>
    <row r="1181" spans="1:29">
      <c r="A1181">
        <v>1174</v>
      </c>
      <c r="B1181">
        <v>189</v>
      </c>
      <c r="C1181" t="s">
        <v>2724</v>
      </c>
      <c r="D1181" t="s">
        <v>86</v>
      </c>
      <c r="E1181" t="s">
        <v>60</v>
      </c>
      <c r="F1181" t="s">
        <v>2725</v>
      </c>
      <c r="G1181" t="str">
        <f>"00027776"</f>
        <v>00027776</v>
      </c>
      <c r="H1181">
        <v>33.44</v>
      </c>
      <c r="I1181">
        <v>0</v>
      </c>
      <c r="M1181">
        <v>0</v>
      </c>
      <c r="N1181">
        <v>4</v>
      </c>
      <c r="O1181">
        <v>2</v>
      </c>
      <c r="P1181">
        <v>39.44</v>
      </c>
      <c r="Q1181">
        <v>34</v>
      </c>
      <c r="R1181">
        <v>34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34</v>
      </c>
      <c r="Z1181">
        <v>3</v>
      </c>
      <c r="AA1181">
        <v>0</v>
      </c>
      <c r="AC1181">
        <v>76.44</v>
      </c>
    </row>
    <row r="1182" spans="1:29">
      <c r="A1182">
        <v>1175</v>
      </c>
      <c r="B1182">
        <v>137</v>
      </c>
      <c r="C1182" t="s">
        <v>712</v>
      </c>
      <c r="D1182" t="s">
        <v>39</v>
      </c>
      <c r="E1182" t="s">
        <v>18</v>
      </c>
      <c r="F1182" t="s">
        <v>2726</v>
      </c>
      <c r="G1182" t="str">
        <f>"00531638"</f>
        <v>00531638</v>
      </c>
      <c r="H1182">
        <v>23.4</v>
      </c>
      <c r="I1182">
        <v>10</v>
      </c>
      <c r="M1182">
        <v>0</v>
      </c>
      <c r="N1182">
        <v>0</v>
      </c>
      <c r="O1182">
        <v>0</v>
      </c>
      <c r="P1182">
        <v>33.4</v>
      </c>
      <c r="Q1182">
        <v>37</v>
      </c>
      <c r="R1182">
        <v>37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37</v>
      </c>
      <c r="Z1182">
        <v>6</v>
      </c>
      <c r="AA1182">
        <v>0</v>
      </c>
      <c r="AC1182">
        <v>76.400000000000006</v>
      </c>
    </row>
    <row r="1183" spans="1:29">
      <c r="A1183">
        <v>1176</v>
      </c>
      <c r="B1183">
        <v>2764</v>
      </c>
      <c r="C1183" t="s">
        <v>2729</v>
      </c>
      <c r="D1183" t="s">
        <v>52</v>
      </c>
      <c r="E1183" t="s">
        <v>2730</v>
      </c>
      <c r="F1183" t="s">
        <v>2731</v>
      </c>
      <c r="G1183" t="str">
        <f>"00529791"</f>
        <v>00529791</v>
      </c>
      <c r="H1183">
        <v>50.4</v>
      </c>
      <c r="I1183">
        <v>10</v>
      </c>
      <c r="M1183">
        <v>0</v>
      </c>
      <c r="N1183">
        <v>0</v>
      </c>
      <c r="O1183">
        <v>0</v>
      </c>
      <c r="P1183">
        <v>60.4</v>
      </c>
      <c r="Q1183">
        <v>16</v>
      </c>
      <c r="R1183">
        <v>16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16</v>
      </c>
      <c r="Z1183">
        <v>0</v>
      </c>
      <c r="AA1183">
        <v>0</v>
      </c>
      <c r="AC1183">
        <v>76.400000000000006</v>
      </c>
    </row>
    <row r="1184" spans="1:29">
      <c r="A1184">
        <v>1177</v>
      </c>
      <c r="B1184">
        <v>1374</v>
      </c>
      <c r="C1184" t="s">
        <v>2727</v>
      </c>
      <c r="D1184" t="s">
        <v>159</v>
      </c>
      <c r="E1184" t="s">
        <v>15</v>
      </c>
      <c r="F1184" t="s">
        <v>2728</v>
      </c>
      <c r="G1184" t="str">
        <f>"00531410"</f>
        <v>00531410</v>
      </c>
      <c r="H1184">
        <v>50.4</v>
      </c>
      <c r="I1184">
        <v>0</v>
      </c>
      <c r="L1184">
        <v>4</v>
      </c>
      <c r="M1184">
        <v>4</v>
      </c>
      <c r="N1184">
        <v>4</v>
      </c>
      <c r="O1184">
        <v>2</v>
      </c>
      <c r="P1184">
        <v>60.4</v>
      </c>
      <c r="Q1184">
        <v>0</v>
      </c>
      <c r="R1184">
        <v>0</v>
      </c>
      <c r="S1184">
        <v>8</v>
      </c>
      <c r="T1184">
        <v>16</v>
      </c>
      <c r="U1184">
        <v>0</v>
      </c>
      <c r="V1184">
        <v>0</v>
      </c>
      <c r="W1184">
        <v>0</v>
      </c>
      <c r="X1184">
        <v>0</v>
      </c>
      <c r="Y1184">
        <v>16</v>
      </c>
      <c r="Z1184">
        <v>0</v>
      </c>
      <c r="AA1184">
        <v>0</v>
      </c>
      <c r="AC1184">
        <v>76.400000000000006</v>
      </c>
    </row>
    <row r="1185" spans="1:29">
      <c r="A1185">
        <v>1178</v>
      </c>
      <c r="B1185">
        <v>747</v>
      </c>
      <c r="C1185" t="s">
        <v>2736</v>
      </c>
      <c r="D1185" t="s">
        <v>145</v>
      </c>
      <c r="E1185" t="s">
        <v>66</v>
      </c>
      <c r="F1185" t="s">
        <v>2737</v>
      </c>
      <c r="G1185" t="str">
        <f>"00488555"</f>
        <v>00488555</v>
      </c>
      <c r="H1185">
        <v>50.4</v>
      </c>
      <c r="I1185">
        <v>0</v>
      </c>
      <c r="L1185">
        <v>4</v>
      </c>
      <c r="M1185">
        <v>4</v>
      </c>
      <c r="N1185">
        <v>4</v>
      </c>
      <c r="O1185">
        <v>0</v>
      </c>
      <c r="P1185">
        <v>58.4</v>
      </c>
      <c r="Q1185">
        <v>18</v>
      </c>
      <c r="R1185">
        <v>18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18</v>
      </c>
      <c r="Z1185">
        <v>0</v>
      </c>
      <c r="AA1185">
        <v>0</v>
      </c>
      <c r="AB1185" t="s">
        <v>128</v>
      </c>
      <c r="AC1185">
        <v>76.400000000000006</v>
      </c>
    </row>
    <row r="1186" spans="1:29">
      <c r="A1186">
        <v>1179</v>
      </c>
      <c r="B1186">
        <v>3780</v>
      </c>
      <c r="C1186" t="s">
        <v>1614</v>
      </c>
      <c r="D1186" t="s">
        <v>2738</v>
      </c>
      <c r="E1186" t="s">
        <v>15</v>
      </c>
      <c r="F1186" t="s">
        <v>2739</v>
      </c>
      <c r="G1186" t="str">
        <f>"00528533"</f>
        <v>00528533</v>
      </c>
      <c r="H1186">
        <v>50.4</v>
      </c>
      <c r="I1186">
        <v>0</v>
      </c>
      <c r="L1186">
        <v>4</v>
      </c>
      <c r="M1186">
        <v>4</v>
      </c>
      <c r="N1186">
        <v>4</v>
      </c>
      <c r="O1186">
        <v>0</v>
      </c>
      <c r="P1186">
        <v>58.4</v>
      </c>
      <c r="Q1186">
        <v>18</v>
      </c>
      <c r="R1186">
        <v>18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18</v>
      </c>
      <c r="Z1186">
        <v>0</v>
      </c>
      <c r="AA1186">
        <v>0</v>
      </c>
      <c r="AC1186">
        <v>76.400000000000006</v>
      </c>
    </row>
    <row r="1187" spans="1:29">
      <c r="A1187">
        <v>1180</v>
      </c>
      <c r="B1187">
        <v>3226</v>
      </c>
      <c r="C1187" t="s">
        <v>2734</v>
      </c>
      <c r="D1187" t="s">
        <v>175</v>
      </c>
      <c r="E1187" t="s">
        <v>115</v>
      </c>
      <c r="F1187" t="s">
        <v>2735</v>
      </c>
      <c r="G1187" t="str">
        <f>"00524066"</f>
        <v>00524066</v>
      </c>
      <c r="H1187">
        <v>50.4</v>
      </c>
      <c r="I1187">
        <v>0</v>
      </c>
      <c r="L1187">
        <v>4</v>
      </c>
      <c r="M1187">
        <v>4</v>
      </c>
      <c r="N1187">
        <v>4</v>
      </c>
      <c r="O1187">
        <v>0</v>
      </c>
      <c r="P1187">
        <v>58.4</v>
      </c>
      <c r="Q1187">
        <v>18</v>
      </c>
      <c r="R1187">
        <v>18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18</v>
      </c>
      <c r="Z1187">
        <v>0</v>
      </c>
      <c r="AA1187">
        <v>0</v>
      </c>
      <c r="AC1187">
        <v>76.400000000000006</v>
      </c>
    </row>
    <row r="1188" spans="1:29">
      <c r="A1188">
        <v>1181</v>
      </c>
      <c r="B1188">
        <v>1983</v>
      </c>
      <c r="C1188" t="s">
        <v>2732</v>
      </c>
      <c r="D1188" t="s">
        <v>108</v>
      </c>
      <c r="E1188" t="s">
        <v>252</v>
      </c>
      <c r="F1188" t="s">
        <v>2733</v>
      </c>
      <c r="G1188" t="str">
        <f>"00531906"</f>
        <v>00531906</v>
      </c>
      <c r="H1188">
        <v>50.4</v>
      </c>
      <c r="I1188">
        <v>0</v>
      </c>
      <c r="L1188">
        <v>4</v>
      </c>
      <c r="M1188">
        <v>4</v>
      </c>
      <c r="N1188">
        <v>4</v>
      </c>
      <c r="O1188">
        <v>0</v>
      </c>
      <c r="P1188">
        <v>58.4</v>
      </c>
      <c r="Q1188">
        <v>18</v>
      </c>
      <c r="R1188">
        <v>18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18</v>
      </c>
      <c r="Z1188">
        <v>0</v>
      </c>
      <c r="AA1188">
        <v>0</v>
      </c>
      <c r="AC1188">
        <v>76.400000000000006</v>
      </c>
    </row>
    <row r="1189" spans="1:29">
      <c r="A1189">
        <v>1182</v>
      </c>
      <c r="B1189">
        <v>685</v>
      </c>
      <c r="C1189" t="s">
        <v>2740</v>
      </c>
      <c r="D1189" t="s">
        <v>2000</v>
      </c>
      <c r="E1189" t="s">
        <v>79</v>
      </c>
      <c r="F1189" t="s">
        <v>2741</v>
      </c>
      <c r="G1189" t="str">
        <f>"00465086"</f>
        <v>00465086</v>
      </c>
      <c r="H1189">
        <v>38.4</v>
      </c>
      <c r="I1189">
        <v>10</v>
      </c>
      <c r="L1189">
        <v>4</v>
      </c>
      <c r="M1189">
        <v>4</v>
      </c>
      <c r="N1189">
        <v>4</v>
      </c>
      <c r="O1189">
        <v>2</v>
      </c>
      <c r="P1189">
        <v>58.4</v>
      </c>
      <c r="Q1189">
        <v>18</v>
      </c>
      <c r="R1189">
        <v>18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18</v>
      </c>
      <c r="Z1189">
        <v>0</v>
      </c>
      <c r="AA1189">
        <v>0</v>
      </c>
      <c r="AC1189">
        <v>76.400000000000006</v>
      </c>
    </row>
    <row r="1190" spans="1:29">
      <c r="A1190">
        <v>1183</v>
      </c>
      <c r="B1190">
        <v>2814</v>
      </c>
      <c r="C1190" t="s">
        <v>2742</v>
      </c>
      <c r="D1190" t="s">
        <v>820</v>
      </c>
      <c r="E1190" t="s">
        <v>66</v>
      </c>
      <c r="F1190" t="s">
        <v>2743</v>
      </c>
      <c r="G1190" t="str">
        <f>"200802003962"</f>
        <v>200802003962</v>
      </c>
      <c r="H1190">
        <v>33.32</v>
      </c>
      <c r="I1190">
        <v>0</v>
      </c>
      <c r="L1190">
        <v>4</v>
      </c>
      <c r="M1190">
        <v>4</v>
      </c>
      <c r="N1190">
        <v>4</v>
      </c>
      <c r="O1190">
        <v>2</v>
      </c>
      <c r="P1190">
        <v>43.32</v>
      </c>
      <c r="Q1190">
        <v>30</v>
      </c>
      <c r="R1190">
        <v>30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30</v>
      </c>
      <c r="Z1190">
        <v>3</v>
      </c>
      <c r="AA1190">
        <v>0</v>
      </c>
      <c r="AC1190">
        <v>76.319999999999993</v>
      </c>
    </row>
    <row r="1191" spans="1:29">
      <c r="A1191">
        <v>1184</v>
      </c>
      <c r="B1191">
        <v>4211</v>
      </c>
      <c r="C1191" t="s">
        <v>2744</v>
      </c>
      <c r="D1191" t="s">
        <v>27</v>
      </c>
      <c r="E1191" t="s">
        <v>227</v>
      </c>
      <c r="F1191" t="s">
        <v>2745</v>
      </c>
      <c r="G1191" t="str">
        <f>"00506500"</f>
        <v>00506500</v>
      </c>
      <c r="H1191">
        <v>38.24</v>
      </c>
      <c r="I1191">
        <v>10</v>
      </c>
      <c r="L1191">
        <v>4</v>
      </c>
      <c r="M1191">
        <v>4</v>
      </c>
      <c r="N1191">
        <v>4</v>
      </c>
      <c r="O1191">
        <v>2</v>
      </c>
      <c r="P1191">
        <v>58.24</v>
      </c>
      <c r="Q1191">
        <v>18</v>
      </c>
      <c r="R1191">
        <v>18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18</v>
      </c>
      <c r="Z1191">
        <v>0</v>
      </c>
      <c r="AA1191">
        <v>0</v>
      </c>
      <c r="AC1191">
        <v>76.239999999999995</v>
      </c>
    </row>
    <row r="1192" spans="1:29">
      <c r="A1192">
        <v>1185</v>
      </c>
      <c r="B1192">
        <v>3521</v>
      </c>
      <c r="C1192" t="s">
        <v>2746</v>
      </c>
      <c r="D1192" t="s">
        <v>2747</v>
      </c>
      <c r="E1192" t="s">
        <v>237</v>
      </c>
      <c r="F1192" t="s">
        <v>2748</v>
      </c>
      <c r="G1192" t="str">
        <f>"00472240"</f>
        <v>00472240</v>
      </c>
      <c r="H1192">
        <v>43.2</v>
      </c>
      <c r="I1192">
        <v>0</v>
      </c>
      <c r="L1192">
        <v>4</v>
      </c>
      <c r="M1192">
        <v>4</v>
      </c>
      <c r="N1192">
        <v>0</v>
      </c>
      <c r="O1192">
        <v>0</v>
      </c>
      <c r="P1192">
        <v>47.2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9</v>
      </c>
      <c r="AA1192">
        <v>20</v>
      </c>
      <c r="AC1192">
        <v>76.2</v>
      </c>
    </row>
    <row r="1193" spans="1:29">
      <c r="A1193">
        <v>1186</v>
      </c>
      <c r="B1193">
        <v>4494</v>
      </c>
      <c r="C1193" t="s">
        <v>2749</v>
      </c>
      <c r="D1193" t="s">
        <v>2750</v>
      </c>
      <c r="E1193" t="s">
        <v>436</v>
      </c>
      <c r="F1193" t="s">
        <v>2751</v>
      </c>
      <c r="G1193" t="str">
        <f>"00036610"</f>
        <v>00036610</v>
      </c>
      <c r="H1193">
        <v>43.2</v>
      </c>
      <c r="I1193">
        <v>0</v>
      </c>
      <c r="L1193">
        <v>4</v>
      </c>
      <c r="M1193">
        <v>4</v>
      </c>
      <c r="N1193">
        <v>4</v>
      </c>
      <c r="O1193">
        <v>0</v>
      </c>
      <c r="P1193">
        <v>51.2</v>
      </c>
      <c r="Q1193">
        <v>22</v>
      </c>
      <c r="R1193">
        <v>22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22</v>
      </c>
      <c r="Z1193">
        <v>3</v>
      </c>
      <c r="AA1193">
        <v>0</v>
      </c>
      <c r="AC1193">
        <v>76.2</v>
      </c>
    </row>
    <row r="1194" spans="1:29">
      <c r="A1194">
        <v>1187</v>
      </c>
      <c r="B1194">
        <v>1641</v>
      </c>
      <c r="C1194" t="s">
        <v>2752</v>
      </c>
      <c r="D1194" t="s">
        <v>24</v>
      </c>
      <c r="E1194" t="s">
        <v>2753</v>
      </c>
      <c r="F1194" t="s">
        <v>2754</v>
      </c>
      <c r="G1194" t="str">
        <f>"201511025397"</f>
        <v>201511025397</v>
      </c>
      <c r="H1194">
        <v>35.200000000000003</v>
      </c>
      <c r="I1194">
        <v>10</v>
      </c>
      <c r="M1194">
        <v>0</v>
      </c>
      <c r="N1194">
        <v>4</v>
      </c>
      <c r="O1194">
        <v>2</v>
      </c>
      <c r="P1194">
        <v>51.2</v>
      </c>
      <c r="Q1194">
        <v>25</v>
      </c>
      <c r="R1194">
        <v>25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25</v>
      </c>
      <c r="Z1194">
        <v>0</v>
      </c>
      <c r="AA1194">
        <v>0</v>
      </c>
      <c r="AC1194">
        <v>76.2</v>
      </c>
    </row>
    <row r="1195" spans="1:29">
      <c r="A1195">
        <v>1188</v>
      </c>
      <c r="B1195">
        <v>854</v>
      </c>
      <c r="C1195" t="s">
        <v>2755</v>
      </c>
      <c r="D1195" t="s">
        <v>27</v>
      </c>
      <c r="E1195" t="s">
        <v>66</v>
      </c>
      <c r="F1195" t="s">
        <v>2756</v>
      </c>
      <c r="G1195" t="str">
        <f>"00530420"</f>
        <v>00530420</v>
      </c>
      <c r="H1195">
        <v>43.2</v>
      </c>
      <c r="I1195">
        <v>0</v>
      </c>
      <c r="M1195">
        <v>0</v>
      </c>
      <c r="N1195">
        <v>0</v>
      </c>
      <c r="O1195">
        <v>0</v>
      </c>
      <c r="P1195">
        <v>43.2</v>
      </c>
      <c r="Q1195">
        <v>15</v>
      </c>
      <c r="R1195">
        <v>15</v>
      </c>
      <c r="S1195">
        <v>9</v>
      </c>
      <c r="T1195">
        <v>18</v>
      </c>
      <c r="U1195">
        <v>0</v>
      </c>
      <c r="V1195">
        <v>0</v>
      </c>
      <c r="W1195">
        <v>0</v>
      </c>
      <c r="X1195">
        <v>0</v>
      </c>
      <c r="Y1195">
        <v>33</v>
      </c>
      <c r="Z1195">
        <v>0</v>
      </c>
      <c r="AA1195">
        <v>0</v>
      </c>
      <c r="AC1195">
        <v>76.2</v>
      </c>
    </row>
    <row r="1196" spans="1:29">
      <c r="A1196">
        <v>1189</v>
      </c>
      <c r="B1196">
        <v>2144</v>
      </c>
      <c r="C1196" t="s">
        <v>2757</v>
      </c>
      <c r="D1196" t="s">
        <v>27</v>
      </c>
      <c r="E1196" t="s">
        <v>252</v>
      </c>
      <c r="F1196" t="s">
        <v>2758</v>
      </c>
      <c r="G1196" t="str">
        <f>"00441844"</f>
        <v>00441844</v>
      </c>
      <c r="H1196">
        <v>29.2</v>
      </c>
      <c r="I1196">
        <v>10</v>
      </c>
      <c r="M1196">
        <v>0</v>
      </c>
      <c r="N1196">
        <v>4</v>
      </c>
      <c r="O1196">
        <v>0</v>
      </c>
      <c r="P1196">
        <v>43.2</v>
      </c>
      <c r="Q1196">
        <v>33</v>
      </c>
      <c r="R1196">
        <v>33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33</v>
      </c>
      <c r="Z1196">
        <v>0</v>
      </c>
      <c r="AA1196">
        <v>0</v>
      </c>
      <c r="AC1196">
        <v>76.2</v>
      </c>
    </row>
    <row r="1197" spans="1:29">
      <c r="A1197">
        <v>1190</v>
      </c>
      <c r="B1197">
        <v>2068</v>
      </c>
      <c r="C1197" t="s">
        <v>2759</v>
      </c>
      <c r="D1197" t="s">
        <v>27</v>
      </c>
      <c r="E1197" t="s">
        <v>134</v>
      </c>
      <c r="F1197" t="s">
        <v>2760</v>
      </c>
      <c r="G1197" t="str">
        <f>"00507721"</f>
        <v>00507721</v>
      </c>
      <c r="H1197">
        <v>7.2</v>
      </c>
      <c r="I1197">
        <v>0</v>
      </c>
      <c r="L1197">
        <v>4</v>
      </c>
      <c r="M1197">
        <v>4</v>
      </c>
      <c r="N1197">
        <v>4</v>
      </c>
      <c r="O1197">
        <v>2</v>
      </c>
      <c r="P1197">
        <v>17.2</v>
      </c>
      <c r="Q1197">
        <v>59</v>
      </c>
      <c r="R1197">
        <v>59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59</v>
      </c>
      <c r="Z1197">
        <v>0</v>
      </c>
      <c r="AA1197">
        <v>0</v>
      </c>
      <c r="AC1197">
        <v>76.2</v>
      </c>
    </row>
    <row r="1198" spans="1:29">
      <c r="A1198">
        <v>1191</v>
      </c>
      <c r="B1198">
        <v>4446</v>
      </c>
      <c r="C1198" t="s">
        <v>218</v>
      </c>
      <c r="D1198" t="s">
        <v>2761</v>
      </c>
      <c r="E1198" t="s">
        <v>79</v>
      </c>
      <c r="F1198" t="s">
        <v>2762</v>
      </c>
      <c r="G1198" t="str">
        <f>"00191293"</f>
        <v>00191293</v>
      </c>
      <c r="H1198">
        <v>33.200000000000003</v>
      </c>
      <c r="I1198">
        <v>0</v>
      </c>
      <c r="M1198">
        <v>0</v>
      </c>
      <c r="N1198">
        <v>4</v>
      </c>
      <c r="O1198">
        <v>0</v>
      </c>
      <c r="P1198">
        <v>37.200000000000003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12</v>
      </c>
      <c r="AA1198">
        <v>26.8</v>
      </c>
      <c r="AC1198">
        <v>76</v>
      </c>
    </row>
    <row r="1199" spans="1:29">
      <c r="A1199">
        <v>1192</v>
      </c>
      <c r="B1199">
        <v>2420</v>
      </c>
      <c r="C1199" t="s">
        <v>257</v>
      </c>
      <c r="D1199" t="s">
        <v>433</v>
      </c>
      <c r="E1199" t="s">
        <v>156</v>
      </c>
      <c r="F1199" t="s">
        <v>2763</v>
      </c>
      <c r="G1199" t="str">
        <f>"00626273"</f>
        <v>00626273</v>
      </c>
      <c r="H1199">
        <v>39.200000000000003</v>
      </c>
      <c r="I1199">
        <v>0</v>
      </c>
      <c r="M1199">
        <v>0</v>
      </c>
      <c r="N1199">
        <v>4</v>
      </c>
      <c r="O1199">
        <v>0</v>
      </c>
      <c r="P1199">
        <v>43.2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6</v>
      </c>
      <c r="AA1199">
        <v>26.8</v>
      </c>
      <c r="AC1199">
        <v>76</v>
      </c>
    </row>
    <row r="1200" spans="1:29">
      <c r="A1200">
        <v>1193</v>
      </c>
      <c r="B1200">
        <v>1369</v>
      </c>
      <c r="C1200" t="s">
        <v>2764</v>
      </c>
      <c r="D1200" t="s">
        <v>2765</v>
      </c>
      <c r="E1200" t="s">
        <v>115</v>
      </c>
      <c r="F1200" t="s">
        <v>2766</v>
      </c>
      <c r="G1200" t="str">
        <f>"00483731"</f>
        <v>00483731</v>
      </c>
      <c r="H1200">
        <v>40</v>
      </c>
      <c r="I1200">
        <v>10</v>
      </c>
      <c r="J1200">
        <v>8</v>
      </c>
      <c r="M1200">
        <v>8</v>
      </c>
      <c r="N1200">
        <v>4</v>
      </c>
      <c r="O1200">
        <v>2</v>
      </c>
      <c r="P1200">
        <v>64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12</v>
      </c>
      <c r="AA1200">
        <v>0</v>
      </c>
      <c r="AC1200">
        <v>76</v>
      </c>
    </row>
    <row r="1201" spans="1:29">
      <c r="A1201">
        <v>1194</v>
      </c>
      <c r="B1201">
        <v>513</v>
      </c>
      <c r="C1201" t="s">
        <v>2767</v>
      </c>
      <c r="D1201" t="s">
        <v>69</v>
      </c>
      <c r="E1201" t="s">
        <v>18</v>
      </c>
      <c r="F1201" t="s">
        <v>2768</v>
      </c>
      <c r="G1201" t="str">
        <f>"00442243"</f>
        <v>00442243</v>
      </c>
      <c r="H1201">
        <v>20</v>
      </c>
      <c r="I1201">
        <v>10</v>
      </c>
      <c r="M1201">
        <v>0</v>
      </c>
      <c r="N1201">
        <v>4</v>
      </c>
      <c r="O1201">
        <v>0</v>
      </c>
      <c r="P1201">
        <v>34</v>
      </c>
      <c r="Q1201">
        <v>36</v>
      </c>
      <c r="R1201">
        <v>36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36</v>
      </c>
      <c r="Z1201">
        <v>6</v>
      </c>
      <c r="AA1201">
        <v>0</v>
      </c>
      <c r="AC1201">
        <v>76</v>
      </c>
    </row>
    <row r="1202" spans="1:29">
      <c r="A1202">
        <v>1195</v>
      </c>
      <c r="B1202">
        <v>4109</v>
      </c>
      <c r="C1202" t="s">
        <v>2769</v>
      </c>
      <c r="D1202" t="s">
        <v>86</v>
      </c>
      <c r="E1202" t="s">
        <v>15</v>
      </c>
      <c r="F1202" t="s">
        <v>2770</v>
      </c>
      <c r="G1202" t="str">
        <f>"00528476"</f>
        <v>00528476</v>
      </c>
      <c r="H1202">
        <v>36</v>
      </c>
      <c r="I1202">
        <v>0</v>
      </c>
      <c r="J1202">
        <v>8</v>
      </c>
      <c r="M1202">
        <v>8</v>
      </c>
      <c r="N1202">
        <v>4</v>
      </c>
      <c r="O1202">
        <v>2</v>
      </c>
      <c r="P1202">
        <v>50</v>
      </c>
      <c r="Q1202">
        <v>23</v>
      </c>
      <c r="R1202">
        <v>23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23</v>
      </c>
      <c r="Z1202">
        <v>3</v>
      </c>
      <c r="AA1202">
        <v>0</v>
      </c>
      <c r="AC1202">
        <v>76</v>
      </c>
    </row>
    <row r="1203" spans="1:29">
      <c r="A1203">
        <v>1196</v>
      </c>
      <c r="B1203">
        <v>3665</v>
      </c>
      <c r="C1203" t="s">
        <v>2771</v>
      </c>
      <c r="D1203" t="s">
        <v>185</v>
      </c>
      <c r="E1203" t="s">
        <v>18</v>
      </c>
      <c r="F1203" t="s">
        <v>2772</v>
      </c>
      <c r="G1203" t="str">
        <f>"00441598"</f>
        <v>00441598</v>
      </c>
      <c r="H1203">
        <v>0</v>
      </c>
      <c r="I1203">
        <v>0</v>
      </c>
      <c r="M1203">
        <v>0</v>
      </c>
      <c r="N1203">
        <v>4</v>
      </c>
      <c r="O1203">
        <v>0</v>
      </c>
      <c r="P1203">
        <v>4</v>
      </c>
      <c r="Q1203">
        <v>69</v>
      </c>
      <c r="R1203">
        <v>69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69</v>
      </c>
      <c r="Z1203">
        <v>3</v>
      </c>
      <c r="AA1203">
        <v>0</v>
      </c>
      <c r="AC1203">
        <v>76</v>
      </c>
    </row>
    <row r="1204" spans="1:29">
      <c r="A1204">
        <v>1197</v>
      </c>
      <c r="B1204">
        <v>4618</v>
      </c>
      <c r="C1204" t="s">
        <v>2552</v>
      </c>
      <c r="D1204" t="s">
        <v>2775</v>
      </c>
      <c r="E1204" t="s">
        <v>36</v>
      </c>
      <c r="F1204" t="s">
        <v>2776</v>
      </c>
      <c r="G1204" t="str">
        <f>"00089775"</f>
        <v>00089775</v>
      </c>
      <c r="H1204">
        <v>72</v>
      </c>
      <c r="I1204">
        <v>0</v>
      </c>
      <c r="M1204">
        <v>0</v>
      </c>
      <c r="N1204">
        <v>4</v>
      </c>
      <c r="O1204">
        <v>0</v>
      </c>
      <c r="P1204">
        <v>76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C1204">
        <v>76</v>
      </c>
    </row>
    <row r="1205" spans="1:29">
      <c r="A1205">
        <v>1198</v>
      </c>
      <c r="B1205">
        <v>4842</v>
      </c>
      <c r="C1205" t="s">
        <v>2773</v>
      </c>
      <c r="D1205" t="s">
        <v>35</v>
      </c>
      <c r="E1205" t="s">
        <v>36</v>
      </c>
      <c r="F1205" t="s">
        <v>2774</v>
      </c>
      <c r="G1205" t="str">
        <f>"00648616"</f>
        <v>00648616</v>
      </c>
      <c r="H1205">
        <v>72</v>
      </c>
      <c r="I1205">
        <v>0</v>
      </c>
      <c r="M1205">
        <v>0</v>
      </c>
      <c r="N1205">
        <v>4</v>
      </c>
      <c r="O1205">
        <v>0</v>
      </c>
      <c r="P1205">
        <v>76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C1205">
        <v>76</v>
      </c>
    </row>
    <row r="1206" spans="1:29">
      <c r="A1206">
        <v>1199</v>
      </c>
      <c r="B1206">
        <v>2145</v>
      </c>
      <c r="C1206" t="s">
        <v>2777</v>
      </c>
      <c r="D1206" t="s">
        <v>27</v>
      </c>
      <c r="E1206" t="s">
        <v>1749</v>
      </c>
      <c r="F1206" t="s">
        <v>2778</v>
      </c>
      <c r="G1206" t="str">
        <f>"00860940"</f>
        <v>00860940</v>
      </c>
      <c r="H1206">
        <v>72</v>
      </c>
      <c r="I1206">
        <v>0</v>
      </c>
      <c r="M1206">
        <v>0</v>
      </c>
      <c r="N1206">
        <v>4</v>
      </c>
      <c r="O1206">
        <v>0</v>
      </c>
      <c r="P1206">
        <v>76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C1206">
        <v>76</v>
      </c>
    </row>
    <row r="1207" spans="1:29">
      <c r="A1207">
        <v>1200</v>
      </c>
      <c r="B1207">
        <v>577</v>
      </c>
      <c r="C1207" t="s">
        <v>2779</v>
      </c>
      <c r="D1207" t="s">
        <v>130</v>
      </c>
      <c r="E1207" t="s">
        <v>79</v>
      </c>
      <c r="F1207" t="s">
        <v>2780</v>
      </c>
      <c r="G1207" t="str">
        <f>"00379077"</f>
        <v>00379077</v>
      </c>
      <c r="H1207">
        <v>36</v>
      </c>
      <c r="I1207">
        <v>10</v>
      </c>
      <c r="J1207">
        <v>8</v>
      </c>
      <c r="M1207">
        <v>8</v>
      </c>
      <c r="N1207">
        <v>4</v>
      </c>
      <c r="O1207">
        <v>0</v>
      </c>
      <c r="P1207">
        <v>58</v>
      </c>
      <c r="Q1207">
        <v>18</v>
      </c>
      <c r="R1207">
        <v>18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18</v>
      </c>
      <c r="Z1207">
        <v>0</v>
      </c>
      <c r="AA1207">
        <v>0</v>
      </c>
      <c r="AC1207">
        <v>76</v>
      </c>
    </row>
    <row r="1208" spans="1:29">
      <c r="A1208">
        <v>1201</v>
      </c>
      <c r="B1208">
        <v>3208</v>
      </c>
      <c r="C1208" t="s">
        <v>2781</v>
      </c>
      <c r="D1208" t="s">
        <v>2782</v>
      </c>
      <c r="E1208" t="s">
        <v>89</v>
      </c>
      <c r="F1208" t="s">
        <v>2783</v>
      </c>
      <c r="G1208" t="str">
        <f>"00510880"</f>
        <v>00510880</v>
      </c>
      <c r="H1208">
        <v>64.8</v>
      </c>
      <c r="I1208">
        <v>0</v>
      </c>
      <c r="J1208">
        <v>8</v>
      </c>
      <c r="M1208">
        <v>8</v>
      </c>
      <c r="N1208">
        <v>0</v>
      </c>
      <c r="O1208">
        <v>0</v>
      </c>
      <c r="P1208">
        <v>72.8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3</v>
      </c>
      <c r="AA1208">
        <v>0</v>
      </c>
      <c r="AC1208">
        <v>75.8</v>
      </c>
    </row>
    <row r="1209" spans="1:29">
      <c r="A1209">
        <v>1202</v>
      </c>
      <c r="B1209">
        <v>4773</v>
      </c>
      <c r="C1209" t="s">
        <v>2784</v>
      </c>
      <c r="D1209" t="s">
        <v>2785</v>
      </c>
      <c r="E1209" t="s">
        <v>18</v>
      </c>
      <c r="F1209" t="s">
        <v>2786</v>
      </c>
      <c r="G1209" t="str">
        <f>"201511022064"</f>
        <v>201511022064</v>
      </c>
      <c r="H1209">
        <v>64.8</v>
      </c>
      <c r="I1209">
        <v>0</v>
      </c>
      <c r="L1209">
        <v>4</v>
      </c>
      <c r="M1209">
        <v>4</v>
      </c>
      <c r="N1209">
        <v>4</v>
      </c>
      <c r="O1209">
        <v>0</v>
      </c>
      <c r="P1209">
        <v>72.8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3</v>
      </c>
      <c r="AA1209">
        <v>0</v>
      </c>
      <c r="AC1209">
        <v>75.8</v>
      </c>
    </row>
    <row r="1210" spans="1:29">
      <c r="A1210">
        <v>1203</v>
      </c>
      <c r="B1210">
        <v>1538</v>
      </c>
      <c r="C1210" t="s">
        <v>2787</v>
      </c>
      <c r="D1210" t="s">
        <v>27</v>
      </c>
      <c r="E1210" t="s">
        <v>233</v>
      </c>
      <c r="F1210" t="s">
        <v>2788</v>
      </c>
      <c r="G1210" t="str">
        <f>"00756384"</f>
        <v>00756384</v>
      </c>
      <c r="H1210">
        <v>28.8</v>
      </c>
      <c r="I1210">
        <v>10</v>
      </c>
      <c r="M1210">
        <v>0</v>
      </c>
      <c r="N1210">
        <v>4</v>
      </c>
      <c r="O1210">
        <v>0</v>
      </c>
      <c r="P1210">
        <v>42.8</v>
      </c>
      <c r="Q1210">
        <v>33</v>
      </c>
      <c r="R1210">
        <v>33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33</v>
      </c>
      <c r="Z1210">
        <v>0</v>
      </c>
      <c r="AA1210">
        <v>0</v>
      </c>
      <c r="AC1210">
        <v>75.8</v>
      </c>
    </row>
    <row r="1211" spans="1:29">
      <c r="A1211">
        <v>1204</v>
      </c>
      <c r="B1211">
        <v>640</v>
      </c>
      <c r="C1211" t="s">
        <v>2789</v>
      </c>
      <c r="D1211" t="s">
        <v>27</v>
      </c>
      <c r="E1211" t="s">
        <v>15</v>
      </c>
      <c r="F1211" t="s">
        <v>2790</v>
      </c>
      <c r="G1211" t="str">
        <f>"201510001306"</f>
        <v>201510001306</v>
      </c>
      <c r="H1211">
        <v>22.68</v>
      </c>
      <c r="I1211">
        <v>10</v>
      </c>
      <c r="M1211">
        <v>0</v>
      </c>
      <c r="N1211">
        <v>4</v>
      </c>
      <c r="O1211">
        <v>0</v>
      </c>
      <c r="P1211">
        <v>36.68</v>
      </c>
      <c r="Q1211">
        <v>30</v>
      </c>
      <c r="R1211">
        <v>30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30</v>
      </c>
      <c r="Z1211">
        <v>9</v>
      </c>
      <c r="AA1211">
        <v>0</v>
      </c>
      <c r="AC1211">
        <v>75.680000000000007</v>
      </c>
    </row>
    <row r="1212" spans="1:29">
      <c r="A1212">
        <v>1205</v>
      </c>
      <c r="B1212">
        <v>608</v>
      </c>
      <c r="C1212" t="s">
        <v>2791</v>
      </c>
      <c r="D1212" t="s">
        <v>210</v>
      </c>
      <c r="E1212" t="s">
        <v>156</v>
      </c>
      <c r="F1212" t="s">
        <v>2792</v>
      </c>
      <c r="G1212" t="str">
        <f>"00019007"</f>
        <v>00019007</v>
      </c>
      <c r="H1212">
        <v>34.68</v>
      </c>
      <c r="I1212">
        <v>10</v>
      </c>
      <c r="L1212">
        <v>4</v>
      </c>
      <c r="M1212">
        <v>4</v>
      </c>
      <c r="N1212">
        <v>4</v>
      </c>
      <c r="O1212">
        <v>2</v>
      </c>
      <c r="P1212">
        <v>54.68</v>
      </c>
      <c r="Q1212">
        <v>21</v>
      </c>
      <c r="R1212">
        <v>21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21</v>
      </c>
      <c r="Z1212">
        <v>0</v>
      </c>
      <c r="AA1212">
        <v>0</v>
      </c>
      <c r="AC1212">
        <v>75.680000000000007</v>
      </c>
    </row>
    <row r="1213" spans="1:29">
      <c r="A1213">
        <v>1206</v>
      </c>
      <c r="B1213">
        <v>2236</v>
      </c>
      <c r="C1213" t="s">
        <v>2793</v>
      </c>
      <c r="D1213" t="s">
        <v>130</v>
      </c>
      <c r="E1213" t="s">
        <v>36</v>
      </c>
      <c r="F1213" t="s">
        <v>2794</v>
      </c>
      <c r="G1213" t="str">
        <f>"00521489"</f>
        <v>00521489</v>
      </c>
      <c r="H1213">
        <v>27.68</v>
      </c>
      <c r="I1213">
        <v>10</v>
      </c>
      <c r="M1213">
        <v>0</v>
      </c>
      <c r="N1213">
        <v>4</v>
      </c>
      <c r="O1213">
        <v>0</v>
      </c>
      <c r="P1213">
        <v>41.68</v>
      </c>
      <c r="Q1213">
        <v>34</v>
      </c>
      <c r="R1213">
        <v>34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34</v>
      </c>
      <c r="Z1213">
        <v>0</v>
      </c>
      <c r="AA1213">
        <v>0</v>
      </c>
      <c r="AC1213">
        <v>75.680000000000007</v>
      </c>
    </row>
    <row r="1214" spans="1:29">
      <c r="A1214">
        <v>1207</v>
      </c>
      <c r="B1214">
        <v>381</v>
      </c>
      <c r="C1214" t="s">
        <v>136</v>
      </c>
      <c r="D1214" t="s">
        <v>473</v>
      </c>
      <c r="E1214" t="s">
        <v>252</v>
      </c>
      <c r="F1214" t="s">
        <v>2795</v>
      </c>
      <c r="G1214" t="str">
        <f>"00475570"</f>
        <v>00475570</v>
      </c>
      <c r="H1214">
        <v>57.6</v>
      </c>
      <c r="I1214">
        <v>0</v>
      </c>
      <c r="J1214">
        <v>8</v>
      </c>
      <c r="L1214">
        <v>4</v>
      </c>
      <c r="M1214">
        <v>12</v>
      </c>
      <c r="N1214">
        <v>4</v>
      </c>
      <c r="O1214">
        <v>2</v>
      </c>
      <c r="P1214">
        <v>75.599999999999994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C1214">
        <v>75.599999999999994</v>
      </c>
    </row>
    <row r="1215" spans="1:29">
      <c r="A1215">
        <v>1208</v>
      </c>
      <c r="B1215">
        <v>1625</v>
      </c>
      <c r="C1215" t="s">
        <v>2796</v>
      </c>
      <c r="D1215" t="s">
        <v>52</v>
      </c>
      <c r="E1215" t="s">
        <v>115</v>
      </c>
      <c r="F1215" t="s">
        <v>2797</v>
      </c>
      <c r="G1215" t="str">
        <f>"00186454"</f>
        <v>00186454</v>
      </c>
      <c r="H1215">
        <v>57.6</v>
      </c>
      <c r="I1215">
        <v>0</v>
      </c>
      <c r="L1215">
        <v>4</v>
      </c>
      <c r="M1215">
        <v>4</v>
      </c>
      <c r="N1215">
        <v>4</v>
      </c>
      <c r="O1215">
        <v>2</v>
      </c>
      <c r="P1215">
        <v>67.599999999999994</v>
      </c>
      <c r="Q1215">
        <v>8</v>
      </c>
      <c r="R1215">
        <v>8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8</v>
      </c>
      <c r="Z1215">
        <v>0</v>
      </c>
      <c r="AA1215">
        <v>0</v>
      </c>
      <c r="AC1215">
        <v>75.599999999999994</v>
      </c>
    </row>
    <row r="1216" spans="1:29">
      <c r="A1216">
        <v>1209</v>
      </c>
      <c r="B1216">
        <v>550</v>
      </c>
      <c r="C1216" t="s">
        <v>2798</v>
      </c>
      <c r="D1216" t="s">
        <v>2799</v>
      </c>
      <c r="E1216" t="s">
        <v>15</v>
      </c>
      <c r="F1216" t="s">
        <v>2800</v>
      </c>
      <c r="G1216" t="str">
        <f>"00501173"</f>
        <v>00501173</v>
      </c>
      <c r="H1216">
        <v>29.6</v>
      </c>
      <c r="I1216">
        <v>0</v>
      </c>
      <c r="M1216">
        <v>0</v>
      </c>
      <c r="N1216">
        <v>4</v>
      </c>
      <c r="O1216">
        <v>0</v>
      </c>
      <c r="P1216">
        <v>33.6</v>
      </c>
      <c r="Q1216">
        <v>42</v>
      </c>
      <c r="R1216">
        <v>42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42</v>
      </c>
      <c r="Z1216">
        <v>0</v>
      </c>
      <c r="AA1216">
        <v>0</v>
      </c>
      <c r="AC1216">
        <v>75.599999999999994</v>
      </c>
    </row>
    <row r="1217" spans="1:29">
      <c r="A1217">
        <v>1210</v>
      </c>
      <c r="B1217">
        <v>1213</v>
      </c>
      <c r="C1217" t="s">
        <v>2801</v>
      </c>
      <c r="D1217" t="s">
        <v>2802</v>
      </c>
      <c r="E1217" t="s">
        <v>18</v>
      </c>
      <c r="F1217" t="s">
        <v>2803</v>
      </c>
      <c r="G1217" t="str">
        <f>"00481842"</f>
        <v>00481842</v>
      </c>
      <c r="H1217">
        <v>21.44</v>
      </c>
      <c r="I1217">
        <v>10</v>
      </c>
      <c r="M1217">
        <v>0</v>
      </c>
      <c r="N1217">
        <v>4</v>
      </c>
      <c r="O1217">
        <v>2</v>
      </c>
      <c r="P1217">
        <v>37.44</v>
      </c>
      <c r="Q1217">
        <v>14</v>
      </c>
      <c r="R1217">
        <v>14</v>
      </c>
      <c r="S1217">
        <v>9</v>
      </c>
      <c r="T1217">
        <v>18</v>
      </c>
      <c r="U1217">
        <v>0</v>
      </c>
      <c r="V1217">
        <v>0</v>
      </c>
      <c r="W1217">
        <v>0</v>
      </c>
      <c r="X1217">
        <v>0</v>
      </c>
      <c r="Y1217">
        <v>32</v>
      </c>
      <c r="Z1217">
        <v>6</v>
      </c>
      <c r="AA1217">
        <v>0</v>
      </c>
      <c r="AC1217">
        <v>75.44</v>
      </c>
    </row>
    <row r="1218" spans="1:29">
      <c r="A1218">
        <v>1211</v>
      </c>
      <c r="B1218">
        <v>1398</v>
      </c>
      <c r="C1218" t="s">
        <v>2804</v>
      </c>
      <c r="D1218" t="s">
        <v>86</v>
      </c>
      <c r="E1218" t="s">
        <v>79</v>
      </c>
      <c r="F1218" t="s">
        <v>2805</v>
      </c>
      <c r="G1218" t="str">
        <f>"00498189"</f>
        <v>00498189</v>
      </c>
      <c r="H1218">
        <v>14.4</v>
      </c>
      <c r="I1218">
        <v>0</v>
      </c>
      <c r="L1218">
        <v>4</v>
      </c>
      <c r="M1218">
        <v>4</v>
      </c>
      <c r="N1218">
        <v>4</v>
      </c>
      <c r="O1218">
        <v>2</v>
      </c>
      <c r="P1218">
        <v>24.4</v>
      </c>
      <c r="Q1218">
        <v>51</v>
      </c>
      <c r="R1218">
        <v>51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51</v>
      </c>
      <c r="Z1218">
        <v>0</v>
      </c>
      <c r="AA1218">
        <v>0</v>
      </c>
      <c r="AC1218">
        <v>75.400000000000006</v>
      </c>
    </row>
    <row r="1219" spans="1:29">
      <c r="A1219">
        <v>1212</v>
      </c>
      <c r="B1219">
        <v>2498</v>
      </c>
      <c r="C1219" t="s">
        <v>1704</v>
      </c>
      <c r="D1219" t="s">
        <v>27</v>
      </c>
      <c r="E1219" t="s">
        <v>237</v>
      </c>
      <c r="F1219" t="s">
        <v>2806</v>
      </c>
      <c r="G1219" t="str">
        <f>"00863091"</f>
        <v>00863091</v>
      </c>
      <c r="H1219">
        <v>37.6</v>
      </c>
      <c r="I1219">
        <v>10</v>
      </c>
      <c r="M1219">
        <v>0</v>
      </c>
      <c r="N1219">
        <v>0</v>
      </c>
      <c r="O1219">
        <v>0</v>
      </c>
      <c r="P1219">
        <v>47.6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27.6</v>
      </c>
      <c r="AC1219">
        <v>75.2</v>
      </c>
    </row>
    <row r="1220" spans="1:29">
      <c r="A1220">
        <v>1213</v>
      </c>
      <c r="B1220">
        <v>422</v>
      </c>
      <c r="C1220" t="s">
        <v>2807</v>
      </c>
      <c r="D1220" t="s">
        <v>2808</v>
      </c>
      <c r="E1220" t="s">
        <v>2809</v>
      </c>
      <c r="F1220" t="s">
        <v>2810</v>
      </c>
      <c r="G1220" t="str">
        <f>"201603000554"</f>
        <v>201603000554</v>
      </c>
      <c r="H1220">
        <v>7.2</v>
      </c>
      <c r="I1220">
        <v>0</v>
      </c>
      <c r="J1220">
        <v>8</v>
      </c>
      <c r="M1220">
        <v>8</v>
      </c>
      <c r="N1220">
        <v>4</v>
      </c>
      <c r="O1220">
        <v>2</v>
      </c>
      <c r="P1220">
        <v>21.2</v>
      </c>
      <c r="Q1220">
        <v>25</v>
      </c>
      <c r="R1220">
        <v>25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25</v>
      </c>
      <c r="Z1220">
        <v>9</v>
      </c>
      <c r="AA1220">
        <v>20</v>
      </c>
      <c r="AC1220">
        <v>75.2</v>
      </c>
    </row>
    <row r="1221" spans="1:29">
      <c r="A1221">
        <v>1214</v>
      </c>
      <c r="B1221">
        <v>4728</v>
      </c>
      <c r="C1221" t="s">
        <v>2811</v>
      </c>
      <c r="D1221" t="s">
        <v>27</v>
      </c>
      <c r="E1221" t="s">
        <v>1855</v>
      </c>
      <c r="F1221" t="s">
        <v>2812</v>
      </c>
      <c r="G1221" t="str">
        <f>"00528360"</f>
        <v>00528360</v>
      </c>
      <c r="H1221">
        <v>7.2</v>
      </c>
      <c r="I1221">
        <v>0</v>
      </c>
      <c r="L1221">
        <v>4</v>
      </c>
      <c r="M1221">
        <v>4</v>
      </c>
      <c r="N1221">
        <v>4</v>
      </c>
      <c r="O1221">
        <v>2</v>
      </c>
      <c r="P1221">
        <v>17.2</v>
      </c>
      <c r="Q1221">
        <v>46</v>
      </c>
      <c r="R1221">
        <v>46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46</v>
      </c>
      <c r="Z1221">
        <v>12</v>
      </c>
      <c r="AA1221">
        <v>0</v>
      </c>
      <c r="AC1221">
        <v>75.2</v>
      </c>
    </row>
    <row r="1222" spans="1:29">
      <c r="A1222">
        <v>1215</v>
      </c>
      <c r="B1222">
        <v>3016</v>
      </c>
      <c r="C1222" t="s">
        <v>2813</v>
      </c>
      <c r="D1222" t="s">
        <v>588</v>
      </c>
      <c r="E1222" t="s">
        <v>18</v>
      </c>
      <c r="F1222" t="s">
        <v>2814</v>
      </c>
      <c r="G1222" t="str">
        <f>"00532180"</f>
        <v>00532180</v>
      </c>
      <c r="H1222">
        <v>43.2</v>
      </c>
      <c r="I1222">
        <v>10</v>
      </c>
      <c r="L1222">
        <v>4</v>
      </c>
      <c r="M1222">
        <v>4</v>
      </c>
      <c r="N1222">
        <v>4</v>
      </c>
      <c r="O1222">
        <v>0</v>
      </c>
      <c r="P1222">
        <v>61.2</v>
      </c>
      <c r="Q1222">
        <v>8</v>
      </c>
      <c r="R1222">
        <v>8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8</v>
      </c>
      <c r="Z1222">
        <v>6</v>
      </c>
      <c r="AA1222">
        <v>0</v>
      </c>
      <c r="AC1222">
        <v>75.2</v>
      </c>
    </row>
    <row r="1223" spans="1:29">
      <c r="A1223">
        <v>1216</v>
      </c>
      <c r="B1223">
        <v>915</v>
      </c>
      <c r="C1223" t="s">
        <v>2815</v>
      </c>
      <c r="D1223" t="s">
        <v>24</v>
      </c>
      <c r="E1223" t="s">
        <v>15</v>
      </c>
      <c r="F1223" t="s">
        <v>2816</v>
      </c>
      <c r="G1223" t="str">
        <f>"00515214"</f>
        <v>00515214</v>
      </c>
      <c r="H1223">
        <v>43.2</v>
      </c>
      <c r="I1223">
        <v>0</v>
      </c>
      <c r="M1223">
        <v>0</v>
      </c>
      <c r="N1223">
        <v>0</v>
      </c>
      <c r="O1223">
        <v>2</v>
      </c>
      <c r="P1223">
        <v>45.2</v>
      </c>
      <c r="Q1223">
        <v>30</v>
      </c>
      <c r="R1223">
        <v>30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30</v>
      </c>
      <c r="Z1223">
        <v>0</v>
      </c>
      <c r="AA1223">
        <v>0</v>
      </c>
      <c r="AC1223">
        <v>75.2</v>
      </c>
    </row>
    <row r="1224" spans="1:29">
      <c r="A1224">
        <v>1217</v>
      </c>
      <c r="B1224">
        <v>2355</v>
      </c>
      <c r="C1224" t="s">
        <v>2817</v>
      </c>
      <c r="D1224" t="s">
        <v>2818</v>
      </c>
      <c r="E1224" t="s">
        <v>66</v>
      </c>
      <c r="F1224" t="s">
        <v>2819</v>
      </c>
      <c r="G1224" t="str">
        <f>"00492832"</f>
        <v>00492832</v>
      </c>
      <c r="H1224">
        <v>7.2</v>
      </c>
      <c r="I1224">
        <v>0</v>
      </c>
      <c r="K1224">
        <v>6</v>
      </c>
      <c r="M1224">
        <v>6</v>
      </c>
      <c r="N1224">
        <v>4</v>
      </c>
      <c r="O1224">
        <v>2</v>
      </c>
      <c r="P1224">
        <v>19.2</v>
      </c>
      <c r="Q1224">
        <v>56</v>
      </c>
      <c r="R1224">
        <v>56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56</v>
      </c>
      <c r="Z1224">
        <v>0</v>
      </c>
      <c r="AA1224">
        <v>0</v>
      </c>
      <c r="AC1224">
        <v>75.2</v>
      </c>
    </row>
    <row r="1225" spans="1:29">
      <c r="A1225">
        <v>1218</v>
      </c>
      <c r="B1225">
        <v>3783</v>
      </c>
      <c r="C1225" t="s">
        <v>1400</v>
      </c>
      <c r="D1225" t="s">
        <v>27</v>
      </c>
      <c r="E1225" t="s">
        <v>66</v>
      </c>
      <c r="F1225" t="s">
        <v>2820</v>
      </c>
      <c r="G1225" t="str">
        <f>"00532157"</f>
        <v>00532157</v>
      </c>
      <c r="H1225">
        <v>39.159999999999997</v>
      </c>
      <c r="I1225">
        <v>0</v>
      </c>
      <c r="L1225">
        <v>4</v>
      </c>
      <c r="M1225">
        <v>4</v>
      </c>
      <c r="N1225">
        <v>4</v>
      </c>
      <c r="O1225">
        <v>2</v>
      </c>
      <c r="P1225">
        <v>49.16</v>
      </c>
      <c r="Q1225">
        <v>17</v>
      </c>
      <c r="R1225">
        <v>17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17</v>
      </c>
      <c r="Z1225">
        <v>9</v>
      </c>
      <c r="AA1225">
        <v>0</v>
      </c>
      <c r="AC1225">
        <v>75.16</v>
      </c>
    </row>
    <row r="1226" spans="1:29">
      <c r="A1226">
        <v>1219</v>
      </c>
      <c r="B1226">
        <v>3924</v>
      </c>
      <c r="C1226" t="s">
        <v>2821</v>
      </c>
      <c r="D1226" t="s">
        <v>27</v>
      </c>
      <c r="E1226" t="s">
        <v>322</v>
      </c>
      <c r="F1226" t="s">
        <v>2822</v>
      </c>
      <c r="G1226" t="str">
        <f>"00502111"</f>
        <v>00502111</v>
      </c>
      <c r="H1226">
        <v>36</v>
      </c>
      <c r="I1226">
        <v>0</v>
      </c>
      <c r="L1226">
        <v>4</v>
      </c>
      <c r="M1226">
        <v>4</v>
      </c>
      <c r="N1226">
        <v>4</v>
      </c>
      <c r="O1226">
        <v>2</v>
      </c>
      <c r="P1226">
        <v>46</v>
      </c>
      <c r="Q1226">
        <v>23</v>
      </c>
      <c r="R1226">
        <v>23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23</v>
      </c>
      <c r="Z1226">
        <v>6</v>
      </c>
      <c r="AA1226">
        <v>0</v>
      </c>
      <c r="AC1226">
        <v>75</v>
      </c>
    </row>
    <row r="1227" spans="1:29">
      <c r="A1227">
        <v>1220</v>
      </c>
      <c r="B1227">
        <v>3159</v>
      </c>
      <c r="C1227" t="s">
        <v>2823</v>
      </c>
      <c r="D1227" t="s">
        <v>27</v>
      </c>
      <c r="E1227" t="s">
        <v>2020</v>
      </c>
      <c r="F1227" t="s">
        <v>2824</v>
      </c>
      <c r="G1227" t="str">
        <f>"200801004635"</f>
        <v>200801004635</v>
      </c>
      <c r="H1227">
        <v>40</v>
      </c>
      <c r="I1227">
        <v>10</v>
      </c>
      <c r="J1227">
        <v>8</v>
      </c>
      <c r="M1227">
        <v>8</v>
      </c>
      <c r="N1227">
        <v>4</v>
      </c>
      <c r="O1227">
        <v>2</v>
      </c>
      <c r="P1227">
        <v>64</v>
      </c>
      <c r="Q1227">
        <v>8</v>
      </c>
      <c r="R1227">
        <v>8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8</v>
      </c>
      <c r="Z1227">
        <v>3</v>
      </c>
      <c r="AA1227">
        <v>0</v>
      </c>
      <c r="AC1227">
        <v>75</v>
      </c>
    </row>
    <row r="1228" spans="1:29">
      <c r="A1228">
        <v>1221</v>
      </c>
      <c r="B1228">
        <v>1692</v>
      </c>
      <c r="C1228" t="s">
        <v>2825</v>
      </c>
      <c r="D1228" t="s">
        <v>349</v>
      </c>
      <c r="E1228" t="s">
        <v>66</v>
      </c>
      <c r="F1228" t="s">
        <v>2826</v>
      </c>
      <c r="G1228" t="str">
        <f>"00037113"</f>
        <v>00037113</v>
      </c>
      <c r="H1228">
        <v>28</v>
      </c>
      <c r="I1228">
        <v>10</v>
      </c>
      <c r="M1228">
        <v>0</v>
      </c>
      <c r="N1228">
        <v>4</v>
      </c>
      <c r="O1228">
        <v>2</v>
      </c>
      <c r="P1228">
        <v>44</v>
      </c>
      <c r="Q1228">
        <v>28</v>
      </c>
      <c r="R1228">
        <v>28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28</v>
      </c>
      <c r="Z1228">
        <v>3</v>
      </c>
      <c r="AA1228">
        <v>0</v>
      </c>
      <c r="AC1228">
        <v>75</v>
      </c>
    </row>
    <row r="1229" spans="1:29">
      <c r="A1229">
        <v>1222</v>
      </c>
      <c r="B1229">
        <v>392</v>
      </c>
      <c r="C1229" t="s">
        <v>2827</v>
      </c>
      <c r="D1229" t="s">
        <v>336</v>
      </c>
      <c r="E1229" t="s">
        <v>15</v>
      </c>
      <c r="F1229" t="s">
        <v>2828</v>
      </c>
      <c r="G1229" t="str">
        <f>"00257415"</f>
        <v>00257415</v>
      </c>
      <c r="H1229">
        <v>40</v>
      </c>
      <c r="I1229">
        <v>10</v>
      </c>
      <c r="L1229">
        <v>4</v>
      </c>
      <c r="M1229">
        <v>4</v>
      </c>
      <c r="N1229">
        <v>4</v>
      </c>
      <c r="O1229">
        <v>0</v>
      </c>
      <c r="P1229">
        <v>58</v>
      </c>
      <c r="Q1229">
        <v>17</v>
      </c>
      <c r="R1229">
        <v>17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17</v>
      </c>
      <c r="Z1229">
        <v>0</v>
      </c>
      <c r="AA1229">
        <v>0</v>
      </c>
      <c r="AC1229">
        <v>75</v>
      </c>
    </row>
    <row r="1230" spans="1:29">
      <c r="A1230">
        <v>1223</v>
      </c>
      <c r="B1230">
        <v>419</v>
      </c>
      <c r="C1230" t="s">
        <v>2829</v>
      </c>
      <c r="D1230" t="s">
        <v>251</v>
      </c>
      <c r="E1230" t="s">
        <v>50</v>
      </c>
      <c r="F1230" t="s">
        <v>2830</v>
      </c>
      <c r="G1230" t="str">
        <f>"00538969"</f>
        <v>00538969</v>
      </c>
      <c r="H1230">
        <v>28.8</v>
      </c>
      <c r="I1230">
        <v>10</v>
      </c>
      <c r="M1230">
        <v>0</v>
      </c>
      <c r="N1230">
        <v>4</v>
      </c>
      <c r="O1230">
        <v>0</v>
      </c>
      <c r="P1230">
        <v>42.8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32</v>
      </c>
      <c r="AC1230">
        <v>74.8</v>
      </c>
    </row>
    <row r="1231" spans="1:29">
      <c r="A1231">
        <v>1224</v>
      </c>
      <c r="B1231">
        <v>112</v>
      </c>
      <c r="C1231" t="s">
        <v>2837</v>
      </c>
      <c r="D1231" t="s">
        <v>510</v>
      </c>
      <c r="E1231" t="s">
        <v>115</v>
      </c>
      <c r="F1231" t="s">
        <v>2838</v>
      </c>
      <c r="G1231" t="str">
        <f>"00714296"</f>
        <v>00714296</v>
      </c>
      <c r="H1231">
        <v>64.8</v>
      </c>
      <c r="I1231">
        <v>0</v>
      </c>
      <c r="M1231">
        <v>0</v>
      </c>
      <c r="N1231">
        <v>4</v>
      </c>
      <c r="O1231">
        <v>0</v>
      </c>
      <c r="P1231">
        <v>68.8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6</v>
      </c>
      <c r="AA1231">
        <v>0</v>
      </c>
      <c r="AC1231">
        <v>74.8</v>
      </c>
    </row>
    <row r="1232" spans="1:29">
      <c r="A1232">
        <v>1225</v>
      </c>
      <c r="B1232">
        <v>3660</v>
      </c>
      <c r="C1232" t="s">
        <v>2831</v>
      </c>
      <c r="D1232" t="s">
        <v>2832</v>
      </c>
      <c r="E1232" t="s">
        <v>2833</v>
      </c>
      <c r="F1232" t="s">
        <v>2834</v>
      </c>
      <c r="G1232" t="str">
        <f>"00552370"</f>
        <v>00552370</v>
      </c>
      <c r="H1232">
        <v>64.8</v>
      </c>
      <c r="I1232">
        <v>0</v>
      </c>
      <c r="M1232">
        <v>0</v>
      </c>
      <c r="N1232">
        <v>4</v>
      </c>
      <c r="O1232">
        <v>0</v>
      </c>
      <c r="P1232">
        <v>68.8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6</v>
      </c>
      <c r="AA1232">
        <v>0</v>
      </c>
      <c r="AC1232">
        <v>74.8</v>
      </c>
    </row>
    <row r="1233" spans="1:29">
      <c r="A1233">
        <v>1226</v>
      </c>
      <c r="B1233">
        <v>4441</v>
      </c>
      <c r="C1233" t="s">
        <v>927</v>
      </c>
      <c r="D1233" t="s">
        <v>179</v>
      </c>
      <c r="E1233" t="s">
        <v>2835</v>
      </c>
      <c r="F1233" t="s">
        <v>2836</v>
      </c>
      <c r="G1233" t="str">
        <f>"00759041"</f>
        <v>00759041</v>
      </c>
      <c r="H1233">
        <v>64.8</v>
      </c>
      <c r="I1233">
        <v>0</v>
      </c>
      <c r="M1233">
        <v>0</v>
      </c>
      <c r="N1233">
        <v>4</v>
      </c>
      <c r="O1233">
        <v>0</v>
      </c>
      <c r="P1233">
        <v>68.8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6</v>
      </c>
      <c r="AA1233">
        <v>0</v>
      </c>
      <c r="AC1233">
        <v>74.8</v>
      </c>
    </row>
    <row r="1234" spans="1:29">
      <c r="A1234">
        <v>1227</v>
      </c>
      <c r="B1234">
        <v>1778</v>
      </c>
      <c r="C1234" t="s">
        <v>2839</v>
      </c>
      <c r="D1234" t="s">
        <v>216</v>
      </c>
      <c r="E1234" t="s">
        <v>2840</v>
      </c>
      <c r="F1234" t="s">
        <v>2841</v>
      </c>
      <c r="G1234" t="str">
        <f>"00475543"</f>
        <v>00475543</v>
      </c>
      <c r="H1234">
        <v>17.8</v>
      </c>
      <c r="I1234">
        <v>0</v>
      </c>
      <c r="M1234">
        <v>0</v>
      </c>
      <c r="N1234">
        <v>4</v>
      </c>
      <c r="O1234">
        <v>0</v>
      </c>
      <c r="P1234">
        <v>21.8</v>
      </c>
      <c r="Q1234">
        <v>50</v>
      </c>
      <c r="R1234">
        <v>50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50</v>
      </c>
      <c r="Z1234">
        <v>3</v>
      </c>
      <c r="AA1234">
        <v>0</v>
      </c>
      <c r="AC1234">
        <v>74.8</v>
      </c>
    </row>
    <row r="1235" spans="1:29">
      <c r="A1235">
        <v>1228</v>
      </c>
      <c r="B1235">
        <v>2471</v>
      </c>
      <c r="C1235" t="s">
        <v>2845</v>
      </c>
      <c r="D1235" t="s">
        <v>544</v>
      </c>
      <c r="E1235" t="s">
        <v>28</v>
      </c>
      <c r="F1235" t="s">
        <v>2846</v>
      </c>
      <c r="G1235" t="str">
        <f>"201502002139"</f>
        <v>201502002139</v>
      </c>
      <c r="H1235">
        <v>64.8</v>
      </c>
      <c r="I1235">
        <v>0</v>
      </c>
      <c r="L1235">
        <v>4</v>
      </c>
      <c r="M1235">
        <v>4</v>
      </c>
      <c r="N1235">
        <v>4</v>
      </c>
      <c r="O1235">
        <v>2</v>
      </c>
      <c r="P1235">
        <v>74.8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C1235">
        <v>74.8</v>
      </c>
    </row>
    <row r="1236" spans="1:29">
      <c r="A1236">
        <v>1229</v>
      </c>
      <c r="B1236">
        <v>3144</v>
      </c>
      <c r="C1236" t="s">
        <v>2842</v>
      </c>
      <c r="D1236" t="s">
        <v>2843</v>
      </c>
      <c r="E1236" t="s">
        <v>79</v>
      </c>
      <c r="F1236" t="s">
        <v>2844</v>
      </c>
      <c r="G1236" t="str">
        <f>"00466015"</f>
        <v>00466015</v>
      </c>
      <c r="H1236">
        <v>64.8</v>
      </c>
      <c r="I1236">
        <v>0</v>
      </c>
      <c r="L1236">
        <v>4</v>
      </c>
      <c r="M1236">
        <v>4</v>
      </c>
      <c r="N1236">
        <v>4</v>
      </c>
      <c r="O1236">
        <v>2</v>
      </c>
      <c r="P1236">
        <v>74.8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C1236">
        <v>74.8</v>
      </c>
    </row>
    <row r="1237" spans="1:29">
      <c r="A1237">
        <v>1230</v>
      </c>
      <c r="B1237">
        <v>3500</v>
      </c>
      <c r="C1237" t="s">
        <v>2847</v>
      </c>
      <c r="D1237" t="s">
        <v>2848</v>
      </c>
      <c r="E1237" t="s">
        <v>187</v>
      </c>
      <c r="F1237" t="s">
        <v>2849</v>
      </c>
      <c r="G1237" t="str">
        <f>"00862999"</f>
        <v>00862999</v>
      </c>
      <c r="H1237">
        <v>64.8</v>
      </c>
      <c r="I1237">
        <v>0</v>
      </c>
      <c r="L1237">
        <v>4</v>
      </c>
      <c r="M1237">
        <v>4</v>
      </c>
      <c r="N1237">
        <v>4</v>
      </c>
      <c r="O1237">
        <v>2</v>
      </c>
      <c r="P1237">
        <v>74.8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C1237">
        <v>74.8</v>
      </c>
    </row>
    <row r="1238" spans="1:29">
      <c r="A1238">
        <v>1231</v>
      </c>
      <c r="B1238">
        <v>3963</v>
      </c>
      <c r="C1238" t="s">
        <v>2422</v>
      </c>
      <c r="D1238" t="s">
        <v>2850</v>
      </c>
      <c r="E1238" t="s">
        <v>134</v>
      </c>
      <c r="F1238" t="s">
        <v>2851</v>
      </c>
      <c r="G1238" t="str">
        <f>"00293500"</f>
        <v>00293500</v>
      </c>
      <c r="H1238">
        <v>64.8</v>
      </c>
      <c r="I1238">
        <v>10</v>
      </c>
      <c r="M1238">
        <v>0</v>
      </c>
      <c r="N1238">
        <v>0</v>
      </c>
      <c r="O1238">
        <v>0</v>
      </c>
      <c r="P1238">
        <v>74.8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C1238">
        <v>74.8</v>
      </c>
    </row>
    <row r="1239" spans="1:29">
      <c r="A1239">
        <v>1232</v>
      </c>
      <c r="B1239">
        <v>3373</v>
      </c>
      <c r="C1239" t="s">
        <v>2852</v>
      </c>
      <c r="D1239" t="s">
        <v>52</v>
      </c>
      <c r="E1239" t="s">
        <v>28</v>
      </c>
      <c r="F1239" t="s">
        <v>2853</v>
      </c>
      <c r="G1239" t="str">
        <f>"00129796"</f>
        <v>00129796</v>
      </c>
      <c r="H1239">
        <v>28.8</v>
      </c>
      <c r="I1239">
        <v>0</v>
      </c>
      <c r="L1239">
        <v>4</v>
      </c>
      <c r="M1239">
        <v>4</v>
      </c>
      <c r="N1239">
        <v>4</v>
      </c>
      <c r="O1239">
        <v>2</v>
      </c>
      <c r="P1239">
        <v>38.799999999999997</v>
      </c>
      <c r="Q1239">
        <v>36</v>
      </c>
      <c r="R1239">
        <v>36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36</v>
      </c>
      <c r="Z1239">
        <v>0</v>
      </c>
      <c r="AA1239">
        <v>0</v>
      </c>
      <c r="AC1239">
        <v>74.8</v>
      </c>
    </row>
    <row r="1240" spans="1:29">
      <c r="A1240">
        <v>1233</v>
      </c>
      <c r="B1240">
        <v>1381</v>
      </c>
      <c r="C1240" t="s">
        <v>2334</v>
      </c>
      <c r="D1240" t="s">
        <v>962</v>
      </c>
      <c r="E1240" t="s">
        <v>18</v>
      </c>
      <c r="F1240" t="s">
        <v>2854</v>
      </c>
      <c r="G1240" t="str">
        <f>"00163448"</f>
        <v>00163448</v>
      </c>
      <c r="H1240">
        <v>28.8</v>
      </c>
      <c r="I1240">
        <v>0</v>
      </c>
      <c r="M1240">
        <v>0</v>
      </c>
      <c r="N1240">
        <v>4</v>
      </c>
      <c r="O1240">
        <v>0</v>
      </c>
      <c r="P1240">
        <v>32.799999999999997</v>
      </c>
      <c r="Q1240">
        <v>42</v>
      </c>
      <c r="R1240">
        <v>42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42</v>
      </c>
      <c r="Z1240">
        <v>0</v>
      </c>
      <c r="AA1240">
        <v>0</v>
      </c>
      <c r="AC1240">
        <v>74.8</v>
      </c>
    </row>
    <row r="1241" spans="1:29">
      <c r="A1241">
        <v>1234</v>
      </c>
      <c r="B1241">
        <v>615</v>
      </c>
      <c r="C1241" t="s">
        <v>2855</v>
      </c>
      <c r="D1241" t="s">
        <v>141</v>
      </c>
      <c r="E1241" t="s">
        <v>115</v>
      </c>
      <c r="F1241" t="s">
        <v>2856</v>
      </c>
      <c r="G1241" t="str">
        <f>"00207346"</f>
        <v>00207346</v>
      </c>
      <c r="H1241">
        <v>39.72</v>
      </c>
      <c r="I1241">
        <v>0</v>
      </c>
      <c r="K1241">
        <v>6</v>
      </c>
      <c r="M1241">
        <v>6</v>
      </c>
      <c r="N1241">
        <v>4</v>
      </c>
      <c r="O1241">
        <v>2</v>
      </c>
      <c r="P1241">
        <v>51.72</v>
      </c>
      <c r="Q1241">
        <v>17</v>
      </c>
      <c r="R1241">
        <v>17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17</v>
      </c>
      <c r="Z1241">
        <v>6</v>
      </c>
      <c r="AA1241">
        <v>0</v>
      </c>
      <c r="AC1241">
        <v>74.72</v>
      </c>
    </row>
    <row r="1242" spans="1:29">
      <c r="A1242">
        <v>1235</v>
      </c>
      <c r="B1242">
        <v>3682</v>
      </c>
      <c r="C1242" t="s">
        <v>2857</v>
      </c>
      <c r="D1242" t="s">
        <v>60</v>
      </c>
      <c r="E1242" t="s">
        <v>889</v>
      </c>
      <c r="F1242" t="s">
        <v>2858</v>
      </c>
      <c r="G1242" t="str">
        <f>"00557538"</f>
        <v>00557538</v>
      </c>
      <c r="H1242">
        <v>57.6</v>
      </c>
      <c r="I1242">
        <v>10</v>
      </c>
      <c r="M1242">
        <v>0</v>
      </c>
      <c r="N1242">
        <v>4</v>
      </c>
      <c r="O1242">
        <v>0</v>
      </c>
      <c r="P1242">
        <v>71.599999999999994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3</v>
      </c>
      <c r="AA1242">
        <v>0</v>
      </c>
      <c r="AC1242">
        <v>74.599999999999994</v>
      </c>
    </row>
    <row r="1243" spans="1:29">
      <c r="A1243">
        <v>1236</v>
      </c>
      <c r="B1243">
        <v>2235</v>
      </c>
      <c r="C1243" t="s">
        <v>342</v>
      </c>
      <c r="D1243" t="s">
        <v>2859</v>
      </c>
      <c r="E1243" t="s">
        <v>36</v>
      </c>
      <c r="F1243" t="s">
        <v>2860</v>
      </c>
      <c r="G1243" t="str">
        <f>"00865627"</f>
        <v>00865627</v>
      </c>
      <c r="H1243">
        <v>50.4</v>
      </c>
      <c r="I1243">
        <v>10</v>
      </c>
      <c r="L1243">
        <v>8</v>
      </c>
      <c r="M1243">
        <v>8</v>
      </c>
      <c r="N1243">
        <v>0</v>
      </c>
      <c r="O1243">
        <v>0</v>
      </c>
      <c r="P1243">
        <v>68.400000000000006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6</v>
      </c>
      <c r="AA1243">
        <v>0</v>
      </c>
      <c r="AC1243">
        <v>74.400000000000006</v>
      </c>
    </row>
    <row r="1244" spans="1:29">
      <c r="A1244">
        <v>1237</v>
      </c>
      <c r="B1244">
        <v>3875</v>
      </c>
      <c r="C1244" t="s">
        <v>2861</v>
      </c>
      <c r="D1244" t="s">
        <v>164</v>
      </c>
      <c r="E1244" t="s">
        <v>2862</v>
      </c>
      <c r="F1244" t="s">
        <v>2863</v>
      </c>
      <c r="G1244" t="str">
        <f>"00070329"</f>
        <v>00070329</v>
      </c>
      <c r="H1244">
        <v>30.4</v>
      </c>
      <c r="I1244">
        <v>10</v>
      </c>
      <c r="L1244">
        <v>4</v>
      </c>
      <c r="M1244">
        <v>4</v>
      </c>
      <c r="N1244">
        <v>4</v>
      </c>
      <c r="O1244">
        <v>2</v>
      </c>
      <c r="P1244">
        <v>50.4</v>
      </c>
      <c r="Q1244">
        <v>18</v>
      </c>
      <c r="R1244">
        <v>18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18</v>
      </c>
      <c r="Z1244">
        <v>6</v>
      </c>
      <c r="AA1244">
        <v>0</v>
      </c>
      <c r="AC1244">
        <v>74.400000000000006</v>
      </c>
    </row>
    <row r="1245" spans="1:29">
      <c r="A1245">
        <v>1238</v>
      </c>
      <c r="B1245">
        <v>501</v>
      </c>
      <c r="C1245" t="s">
        <v>2864</v>
      </c>
      <c r="D1245" t="s">
        <v>52</v>
      </c>
      <c r="E1245" t="s">
        <v>904</v>
      </c>
      <c r="F1245" t="s">
        <v>2865</v>
      </c>
      <c r="G1245" t="str">
        <f>"201511035585"</f>
        <v>201511035585</v>
      </c>
      <c r="H1245">
        <v>50.4</v>
      </c>
      <c r="I1245">
        <v>0</v>
      </c>
      <c r="M1245">
        <v>0</v>
      </c>
      <c r="N1245">
        <v>4</v>
      </c>
      <c r="O1245">
        <v>2</v>
      </c>
      <c r="P1245">
        <v>56.4</v>
      </c>
      <c r="Q1245">
        <v>18</v>
      </c>
      <c r="R1245">
        <v>18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18</v>
      </c>
      <c r="Z1245">
        <v>0</v>
      </c>
      <c r="AA1245">
        <v>0</v>
      </c>
      <c r="AC1245">
        <v>74.400000000000006</v>
      </c>
    </row>
    <row r="1246" spans="1:29">
      <c r="A1246">
        <v>1239</v>
      </c>
      <c r="B1246">
        <v>4382</v>
      </c>
      <c r="C1246" t="s">
        <v>2866</v>
      </c>
      <c r="D1246" t="s">
        <v>185</v>
      </c>
      <c r="E1246" t="s">
        <v>156</v>
      </c>
      <c r="F1246" t="s">
        <v>2867</v>
      </c>
      <c r="G1246" t="str">
        <f>"00152045"</f>
        <v>00152045</v>
      </c>
      <c r="H1246">
        <v>14.4</v>
      </c>
      <c r="I1246">
        <v>0</v>
      </c>
      <c r="L1246">
        <v>4</v>
      </c>
      <c r="M1246">
        <v>4</v>
      </c>
      <c r="N1246">
        <v>4</v>
      </c>
      <c r="O1246">
        <v>2</v>
      </c>
      <c r="P1246">
        <v>24.4</v>
      </c>
      <c r="Q1246">
        <v>50</v>
      </c>
      <c r="R1246">
        <v>50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50</v>
      </c>
      <c r="Z1246">
        <v>0</v>
      </c>
      <c r="AA1246">
        <v>0</v>
      </c>
      <c r="AC1246">
        <v>74.400000000000006</v>
      </c>
    </row>
    <row r="1247" spans="1:29">
      <c r="A1247">
        <v>1240</v>
      </c>
      <c r="B1247">
        <v>1323</v>
      </c>
      <c r="C1247" t="s">
        <v>2868</v>
      </c>
      <c r="D1247" t="s">
        <v>1992</v>
      </c>
      <c r="E1247" t="s">
        <v>15</v>
      </c>
      <c r="F1247" t="s">
        <v>2869</v>
      </c>
      <c r="G1247" t="str">
        <f>"00529984"</f>
        <v>00529984</v>
      </c>
      <c r="H1247">
        <v>33.32</v>
      </c>
      <c r="I1247">
        <v>10</v>
      </c>
      <c r="L1247">
        <v>4</v>
      </c>
      <c r="M1247">
        <v>4</v>
      </c>
      <c r="N1247">
        <v>4</v>
      </c>
      <c r="O1247">
        <v>2</v>
      </c>
      <c r="P1247">
        <v>53.32</v>
      </c>
      <c r="Q1247">
        <v>18</v>
      </c>
      <c r="R1247">
        <v>18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18</v>
      </c>
      <c r="Z1247">
        <v>3</v>
      </c>
      <c r="AA1247">
        <v>0</v>
      </c>
      <c r="AC1247">
        <v>74.319999999999993</v>
      </c>
    </row>
    <row r="1248" spans="1:29">
      <c r="A1248">
        <v>1241</v>
      </c>
      <c r="B1248">
        <v>1649</v>
      </c>
      <c r="C1248" t="s">
        <v>2870</v>
      </c>
      <c r="D1248" t="s">
        <v>210</v>
      </c>
      <c r="E1248" t="s">
        <v>1567</v>
      </c>
      <c r="F1248" t="s">
        <v>2871</v>
      </c>
      <c r="G1248" t="str">
        <f>"00023673"</f>
        <v>00023673</v>
      </c>
      <c r="H1248">
        <v>38.28</v>
      </c>
      <c r="I1248">
        <v>0</v>
      </c>
      <c r="K1248">
        <v>6</v>
      </c>
      <c r="M1248">
        <v>6</v>
      </c>
      <c r="N1248">
        <v>4</v>
      </c>
      <c r="O1248">
        <v>2</v>
      </c>
      <c r="P1248">
        <v>50.28</v>
      </c>
      <c r="Q1248">
        <v>18</v>
      </c>
      <c r="R1248">
        <v>18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18</v>
      </c>
      <c r="Z1248">
        <v>6</v>
      </c>
      <c r="AA1248">
        <v>0</v>
      </c>
      <c r="AC1248">
        <v>74.28</v>
      </c>
    </row>
    <row r="1249" spans="1:29">
      <c r="A1249">
        <v>1242</v>
      </c>
      <c r="B1249">
        <v>2105</v>
      </c>
      <c r="C1249" t="s">
        <v>2872</v>
      </c>
      <c r="D1249" t="s">
        <v>52</v>
      </c>
      <c r="E1249" t="s">
        <v>436</v>
      </c>
      <c r="F1249" t="s">
        <v>2873</v>
      </c>
      <c r="G1249" t="str">
        <f>"00513822"</f>
        <v>00513822</v>
      </c>
      <c r="H1249">
        <v>28.28</v>
      </c>
      <c r="I1249">
        <v>10</v>
      </c>
      <c r="M1249">
        <v>0</v>
      </c>
      <c r="N1249">
        <v>0</v>
      </c>
      <c r="O1249">
        <v>2</v>
      </c>
      <c r="P1249">
        <v>40.28</v>
      </c>
      <c r="Q1249">
        <v>31</v>
      </c>
      <c r="R1249">
        <v>31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31</v>
      </c>
      <c r="Z1249">
        <v>3</v>
      </c>
      <c r="AA1249">
        <v>0</v>
      </c>
      <c r="AC1249">
        <v>74.28</v>
      </c>
    </row>
    <row r="1250" spans="1:29">
      <c r="A1250">
        <v>1243</v>
      </c>
      <c r="B1250">
        <v>1422</v>
      </c>
      <c r="C1250" t="s">
        <v>747</v>
      </c>
      <c r="D1250" t="s">
        <v>2874</v>
      </c>
      <c r="E1250" t="s">
        <v>15</v>
      </c>
      <c r="F1250" t="s">
        <v>2875</v>
      </c>
      <c r="G1250" t="str">
        <f>"00532335"</f>
        <v>00532335</v>
      </c>
      <c r="H1250">
        <v>34.200000000000003</v>
      </c>
      <c r="I1250">
        <v>10</v>
      </c>
      <c r="L1250">
        <v>4</v>
      </c>
      <c r="M1250">
        <v>4</v>
      </c>
      <c r="N1250">
        <v>4</v>
      </c>
      <c r="O1250">
        <v>2</v>
      </c>
      <c r="P1250">
        <v>54.2</v>
      </c>
      <c r="Q1250">
        <v>8</v>
      </c>
      <c r="R1250">
        <v>8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8</v>
      </c>
      <c r="Z1250">
        <v>12</v>
      </c>
      <c r="AA1250">
        <v>0</v>
      </c>
      <c r="AC1250">
        <v>74.2</v>
      </c>
    </row>
    <row r="1251" spans="1:29">
      <c r="A1251">
        <v>1244</v>
      </c>
      <c r="B1251">
        <v>3337</v>
      </c>
      <c r="C1251" t="s">
        <v>2876</v>
      </c>
      <c r="D1251" t="s">
        <v>95</v>
      </c>
      <c r="E1251" t="s">
        <v>12</v>
      </c>
      <c r="F1251" t="s">
        <v>2877</v>
      </c>
      <c r="G1251" t="str">
        <f>"00514284"</f>
        <v>00514284</v>
      </c>
      <c r="H1251">
        <v>43.2</v>
      </c>
      <c r="I1251">
        <v>0</v>
      </c>
      <c r="J1251">
        <v>8</v>
      </c>
      <c r="M1251">
        <v>8</v>
      </c>
      <c r="N1251">
        <v>4</v>
      </c>
      <c r="O1251">
        <v>2</v>
      </c>
      <c r="P1251">
        <v>57.2</v>
      </c>
      <c r="Q1251">
        <v>11</v>
      </c>
      <c r="R1251">
        <v>11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11</v>
      </c>
      <c r="Z1251">
        <v>6</v>
      </c>
      <c r="AA1251">
        <v>0</v>
      </c>
      <c r="AC1251">
        <v>74.2</v>
      </c>
    </row>
    <row r="1252" spans="1:29">
      <c r="A1252">
        <v>1245</v>
      </c>
      <c r="B1252">
        <v>367</v>
      </c>
      <c r="C1252" t="s">
        <v>2878</v>
      </c>
      <c r="D1252" t="s">
        <v>24</v>
      </c>
      <c r="E1252" t="s">
        <v>18</v>
      </c>
      <c r="F1252" t="s">
        <v>2879</v>
      </c>
      <c r="G1252" t="str">
        <f>"00027962"</f>
        <v>00027962</v>
      </c>
      <c r="H1252">
        <v>35.200000000000003</v>
      </c>
      <c r="I1252">
        <v>10</v>
      </c>
      <c r="M1252">
        <v>0</v>
      </c>
      <c r="N1252">
        <v>4</v>
      </c>
      <c r="O1252">
        <v>2</v>
      </c>
      <c r="P1252">
        <v>51.2</v>
      </c>
      <c r="Q1252">
        <v>17</v>
      </c>
      <c r="R1252">
        <v>17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17</v>
      </c>
      <c r="Z1252">
        <v>6</v>
      </c>
      <c r="AA1252">
        <v>0</v>
      </c>
      <c r="AC1252">
        <v>74.2</v>
      </c>
    </row>
    <row r="1253" spans="1:29">
      <c r="A1253">
        <v>1246</v>
      </c>
      <c r="B1253">
        <v>1807</v>
      </c>
      <c r="C1253" t="s">
        <v>2880</v>
      </c>
      <c r="D1253" t="s">
        <v>2881</v>
      </c>
      <c r="E1253" t="s">
        <v>2882</v>
      </c>
      <c r="F1253" t="s">
        <v>2883</v>
      </c>
      <c r="G1253" t="str">
        <f>"00278997"</f>
        <v>00278997</v>
      </c>
      <c r="H1253">
        <v>43.2</v>
      </c>
      <c r="I1253">
        <v>10</v>
      </c>
      <c r="J1253">
        <v>8</v>
      </c>
      <c r="L1253">
        <v>4</v>
      </c>
      <c r="M1253">
        <v>12</v>
      </c>
      <c r="N1253">
        <v>4</v>
      </c>
      <c r="O1253">
        <v>2</v>
      </c>
      <c r="P1253">
        <v>71.2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3</v>
      </c>
      <c r="AA1253">
        <v>0</v>
      </c>
      <c r="AC1253">
        <v>74.2</v>
      </c>
    </row>
    <row r="1254" spans="1:29">
      <c r="A1254">
        <v>1247</v>
      </c>
      <c r="B1254">
        <v>837</v>
      </c>
      <c r="C1254" t="s">
        <v>2884</v>
      </c>
      <c r="D1254" t="s">
        <v>987</v>
      </c>
      <c r="E1254" t="s">
        <v>1813</v>
      </c>
      <c r="F1254" t="s">
        <v>2885</v>
      </c>
      <c r="G1254" t="str">
        <f>"00277770"</f>
        <v>00277770</v>
      </c>
      <c r="H1254">
        <v>39.200000000000003</v>
      </c>
      <c r="I1254">
        <v>0</v>
      </c>
      <c r="J1254">
        <v>8</v>
      </c>
      <c r="M1254">
        <v>8</v>
      </c>
      <c r="N1254">
        <v>4</v>
      </c>
      <c r="O1254">
        <v>2</v>
      </c>
      <c r="P1254">
        <v>53.2</v>
      </c>
      <c r="Q1254">
        <v>18</v>
      </c>
      <c r="R1254">
        <v>18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18</v>
      </c>
      <c r="Z1254">
        <v>3</v>
      </c>
      <c r="AA1254">
        <v>0</v>
      </c>
      <c r="AC1254">
        <v>74.2</v>
      </c>
    </row>
    <row r="1255" spans="1:29">
      <c r="A1255">
        <v>1248</v>
      </c>
      <c r="B1255">
        <v>1964</v>
      </c>
      <c r="C1255" t="s">
        <v>2886</v>
      </c>
      <c r="D1255" t="s">
        <v>1229</v>
      </c>
      <c r="E1255" t="s">
        <v>79</v>
      </c>
      <c r="F1255" t="s">
        <v>2887</v>
      </c>
      <c r="G1255" t="str">
        <f>"00509109"</f>
        <v>00509109</v>
      </c>
      <c r="H1255">
        <v>43.2</v>
      </c>
      <c r="I1255">
        <v>10</v>
      </c>
      <c r="L1255">
        <v>4</v>
      </c>
      <c r="M1255">
        <v>4</v>
      </c>
      <c r="N1255">
        <v>4</v>
      </c>
      <c r="O1255">
        <v>2</v>
      </c>
      <c r="P1255">
        <v>63.2</v>
      </c>
      <c r="Q1255">
        <v>11</v>
      </c>
      <c r="R1255">
        <v>11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11</v>
      </c>
      <c r="Z1255">
        <v>0</v>
      </c>
      <c r="AA1255">
        <v>0</v>
      </c>
      <c r="AC1255">
        <v>74.2</v>
      </c>
    </row>
    <row r="1256" spans="1:29">
      <c r="A1256">
        <v>1249</v>
      </c>
      <c r="B1256">
        <v>3502</v>
      </c>
      <c r="C1256" t="s">
        <v>2888</v>
      </c>
      <c r="D1256" t="s">
        <v>473</v>
      </c>
      <c r="E1256" t="s">
        <v>2889</v>
      </c>
      <c r="F1256" t="s">
        <v>2890</v>
      </c>
      <c r="G1256" t="str">
        <f>"00504736"</f>
        <v>00504736</v>
      </c>
      <c r="H1256">
        <v>43.2</v>
      </c>
      <c r="I1256">
        <v>0</v>
      </c>
      <c r="J1256">
        <v>8</v>
      </c>
      <c r="M1256">
        <v>8</v>
      </c>
      <c r="N1256">
        <v>4</v>
      </c>
      <c r="O1256">
        <v>2</v>
      </c>
      <c r="P1256">
        <v>57.2</v>
      </c>
      <c r="Q1256">
        <v>17</v>
      </c>
      <c r="R1256">
        <v>17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17</v>
      </c>
      <c r="Z1256">
        <v>0</v>
      </c>
      <c r="AA1256">
        <v>0</v>
      </c>
      <c r="AC1256">
        <v>74.2</v>
      </c>
    </row>
    <row r="1257" spans="1:29">
      <c r="A1257">
        <v>1250</v>
      </c>
      <c r="B1257">
        <v>1665</v>
      </c>
      <c r="C1257" t="s">
        <v>2891</v>
      </c>
      <c r="D1257" t="s">
        <v>27</v>
      </c>
      <c r="E1257" t="s">
        <v>79</v>
      </c>
      <c r="F1257" t="s">
        <v>2892</v>
      </c>
      <c r="G1257" t="str">
        <f>"00530938"</f>
        <v>00530938</v>
      </c>
      <c r="H1257">
        <v>43.2</v>
      </c>
      <c r="I1257">
        <v>0</v>
      </c>
      <c r="M1257">
        <v>0</v>
      </c>
      <c r="N1257">
        <v>0</v>
      </c>
      <c r="O1257">
        <v>0</v>
      </c>
      <c r="P1257">
        <v>43.2</v>
      </c>
      <c r="Q1257">
        <v>31</v>
      </c>
      <c r="R1257">
        <v>31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31</v>
      </c>
      <c r="Z1257">
        <v>0</v>
      </c>
      <c r="AA1257">
        <v>0</v>
      </c>
      <c r="AC1257">
        <v>74.2</v>
      </c>
    </row>
    <row r="1258" spans="1:29">
      <c r="A1258">
        <v>1251</v>
      </c>
      <c r="B1258">
        <v>1049</v>
      </c>
      <c r="C1258" t="s">
        <v>2893</v>
      </c>
      <c r="D1258" t="s">
        <v>20</v>
      </c>
      <c r="E1258" t="s">
        <v>60</v>
      </c>
      <c r="F1258" t="s">
        <v>2894</v>
      </c>
      <c r="G1258" t="str">
        <f>"00520501"</f>
        <v>00520501</v>
      </c>
      <c r="H1258">
        <v>7.2</v>
      </c>
      <c r="I1258">
        <v>0</v>
      </c>
      <c r="L1258">
        <v>4</v>
      </c>
      <c r="M1258">
        <v>4</v>
      </c>
      <c r="N1258">
        <v>4</v>
      </c>
      <c r="O1258">
        <v>2</v>
      </c>
      <c r="P1258">
        <v>17.2</v>
      </c>
      <c r="Q1258">
        <v>57</v>
      </c>
      <c r="R1258">
        <v>57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57</v>
      </c>
      <c r="Z1258">
        <v>0</v>
      </c>
      <c r="AA1258">
        <v>0</v>
      </c>
      <c r="AC1258">
        <v>74.2</v>
      </c>
    </row>
    <row r="1259" spans="1:29">
      <c r="A1259">
        <v>1252</v>
      </c>
      <c r="B1259">
        <v>3610</v>
      </c>
      <c r="C1259" t="s">
        <v>2895</v>
      </c>
      <c r="D1259" t="s">
        <v>27</v>
      </c>
      <c r="E1259" t="s">
        <v>66</v>
      </c>
      <c r="F1259" t="s">
        <v>2896</v>
      </c>
      <c r="G1259" t="str">
        <f>"00860969"</f>
        <v>00860969</v>
      </c>
      <c r="H1259">
        <v>43.2</v>
      </c>
      <c r="I1259">
        <v>0</v>
      </c>
      <c r="L1259">
        <v>4</v>
      </c>
      <c r="M1259">
        <v>4</v>
      </c>
      <c r="N1259">
        <v>0</v>
      </c>
      <c r="O1259">
        <v>0</v>
      </c>
      <c r="P1259">
        <v>47.2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26.8</v>
      </c>
      <c r="AC1259">
        <v>74</v>
      </c>
    </row>
    <row r="1260" spans="1:29">
      <c r="A1260">
        <v>1253</v>
      </c>
      <c r="B1260">
        <v>304</v>
      </c>
      <c r="C1260" t="s">
        <v>178</v>
      </c>
      <c r="D1260" t="s">
        <v>147</v>
      </c>
      <c r="E1260" t="s">
        <v>436</v>
      </c>
      <c r="F1260" t="s">
        <v>2897</v>
      </c>
      <c r="G1260" t="str">
        <f>"00532415"</f>
        <v>00532415</v>
      </c>
      <c r="H1260">
        <v>40</v>
      </c>
      <c r="I1260">
        <v>10</v>
      </c>
      <c r="M1260">
        <v>0</v>
      </c>
      <c r="N1260">
        <v>4</v>
      </c>
      <c r="O1260">
        <v>0</v>
      </c>
      <c r="P1260">
        <v>54</v>
      </c>
      <c r="Q1260">
        <v>17</v>
      </c>
      <c r="R1260">
        <v>17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17</v>
      </c>
      <c r="Z1260">
        <v>3</v>
      </c>
      <c r="AA1260">
        <v>0</v>
      </c>
      <c r="AC1260">
        <v>74</v>
      </c>
    </row>
    <row r="1261" spans="1:29">
      <c r="A1261">
        <v>1254</v>
      </c>
      <c r="B1261">
        <v>2683</v>
      </c>
      <c r="C1261" t="s">
        <v>1614</v>
      </c>
      <c r="D1261" t="s">
        <v>175</v>
      </c>
      <c r="E1261" t="s">
        <v>436</v>
      </c>
      <c r="F1261" t="s">
        <v>2898</v>
      </c>
      <c r="G1261" t="str">
        <f>"00865332"</f>
        <v>00865332</v>
      </c>
      <c r="H1261">
        <v>72</v>
      </c>
      <c r="I1261">
        <v>0</v>
      </c>
      <c r="M1261">
        <v>0</v>
      </c>
      <c r="N1261">
        <v>0</v>
      </c>
      <c r="O1261">
        <v>2</v>
      </c>
      <c r="P1261">
        <v>74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C1261">
        <v>74</v>
      </c>
    </row>
    <row r="1262" spans="1:29">
      <c r="A1262">
        <v>1255</v>
      </c>
      <c r="B1262">
        <v>4806</v>
      </c>
      <c r="C1262" t="s">
        <v>2899</v>
      </c>
      <c r="D1262" t="s">
        <v>164</v>
      </c>
      <c r="E1262" t="s">
        <v>36</v>
      </c>
      <c r="F1262" t="s">
        <v>2900</v>
      </c>
      <c r="G1262" t="str">
        <f>"201406010602"</f>
        <v>201406010602</v>
      </c>
      <c r="H1262">
        <v>40</v>
      </c>
      <c r="I1262">
        <v>0</v>
      </c>
      <c r="J1262">
        <v>8</v>
      </c>
      <c r="L1262">
        <v>4</v>
      </c>
      <c r="M1262">
        <v>12</v>
      </c>
      <c r="N1262">
        <v>4</v>
      </c>
      <c r="O1262">
        <v>0</v>
      </c>
      <c r="P1262">
        <v>56</v>
      </c>
      <c r="Q1262">
        <v>18</v>
      </c>
      <c r="R1262">
        <v>18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18</v>
      </c>
      <c r="Z1262">
        <v>0</v>
      </c>
      <c r="AA1262">
        <v>0</v>
      </c>
      <c r="AC1262">
        <v>74</v>
      </c>
    </row>
    <row r="1263" spans="1:29">
      <c r="A1263">
        <v>1256</v>
      </c>
      <c r="B1263">
        <v>670</v>
      </c>
      <c r="C1263" t="s">
        <v>2901</v>
      </c>
      <c r="D1263" t="s">
        <v>2902</v>
      </c>
      <c r="E1263" t="s">
        <v>187</v>
      </c>
      <c r="F1263" t="s">
        <v>2903</v>
      </c>
      <c r="G1263" t="str">
        <f>"00520006"</f>
        <v>00520006</v>
      </c>
      <c r="H1263">
        <v>36</v>
      </c>
      <c r="I1263">
        <v>10</v>
      </c>
      <c r="L1263">
        <v>4</v>
      </c>
      <c r="M1263">
        <v>4</v>
      </c>
      <c r="N1263">
        <v>4</v>
      </c>
      <c r="O1263">
        <v>2</v>
      </c>
      <c r="P1263">
        <v>56</v>
      </c>
      <c r="Q1263">
        <v>18</v>
      </c>
      <c r="R1263">
        <v>18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18</v>
      </c>
      <c r="Z1263">
        <v>0</v>
      </c>
      <c r="AA1263">
        <v>0</v>
      </c>
      <c r="AC1263">
        <v>74</v>
      </c>
    </row>
    <row r="1264" spans="1:29">
      <c r="A1264">
        <v>1257</v>
      </c>
      <c r="B1264">
        <v>2418</v>
      </c>
      <c r="C1264" t="s">
        <v>2904</v>
      </c>
      <c r="D1264" t="s">
        <v>108</v>
      </c>
      <c r="E1264" t="s">
        <v>12</v>
      </c>
      <c r="F1264" t="s">
        <v>2905</v>
      </c>
      <c r="G1264" t="str">
        <f>"00294015"</f>
        <v>00294015</v>
      </c>
      <c r="H1264">
        <v>24</v>
      </c>
      <c r="I1264">
        <v>10</v>
      </c>
      <c r="M1264">
        <v>0</v>
      </c>
      <c r="N1264">
        <v>4</v>
      </c>
      <c r="O1264">
        <v>2</v>
      </c>
      <c r="P1264">
        <v>40</v>
      </c>
      <c r="Q1264">
        <v>34</v>
      </c>
      <c r="R1264">
        <v>34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34</v>
      </c>
      <c r="Z1264">
        <v>0</v>
      </c>
      <c r="AA1264">
        <v>0</v>
      </c>
      <c r="AC1264">
        <v>74</v>
      </c>
    </row>
    <row r="1265" spans="1:29">
      <c r="A1265">
        <v>1258</v>
      </c>
      <c r="B1265">
        <v>4269</v>
      </c>
      <c r="C1265" t="s">
        <v>2906</v>
      </c>
      <c r="D1265" t="s">
        <v>86</v>
      </c>
      <c r="E1265" t="s">
        <v>252</v>
      </c>
      <c r="F1265" t="s">
        <v>2907</v>
      </c>
      <c r="G1265" t="str">
        <f>"00513813"</f>
        <v>00513813</v>
      </c>
      <c r="H1265">
        <v>36.880000000000003</v>
      </c>
      <c r="I1265">
        <v>10</v>
      </c>
      <c r="M1265">
        <v>0</v>
      </c>
      <c r="N1265">
        <v>4</v>
      </c>
      <c r="O1265">
        <v>2</v>
      </c>
      <c r="P1265">
        <v>52.88</v>
      </c>
      <c r="Q1265">
        <v>18</v>
      </c>
      <c r="R1265">
        <v>18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18</v>
      </c>
      <c r="Z1265">
        <v>3</v>
      </c>
      <c r="AA1265">
        <v>0</v>
      </c>
      <c r="AC1265">
        <v>73.88</v>
      </c>
    </row>
    <row r="1266" spans="1:29">
      <c r="A1266">
        <v>1259</v>
      </c>
      <c r="B1266">
        <v>1577</v>
      </c>
      <c r="C1266" t="s">
        <v>2908</v>
      </c>
      <c r="D1266" t="s">
        <v>164</v>
      </c>
      <c r="E1266" t="s">
        <v>15</v>
      </c>
      <c r="F1266" t="s">
        <v>2909</v>
      </c>
      <c r="G1266" t="str">
        <f>"00511729"</f>
        <v>00511729</v>
      </c>
      <c r="H1266">
        <v>13.84</v>
      </c>
      <c r="I1266">
        <v>10</v>
      </c>
      <c r="L1266">
        <v>4</v>
      </c>
      <c r="M1266">
        <v>4</v>
      </c>
      <c r="N1266">
        <v>4</v>
      </c>
      <c r="O1266">
        <v>0</v>
      </c>
      <c r="P1266">
        <v>31.84</v>
      </c>
      <c r="Q1266">
        <v>36</v>
      </c>
      <c r="R1266">
        <v>36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36</v>
      </c>
      <c r="Z1266">
        <v>6</v>
      </c>
      <c r="AA1266">
        <v>0</v>
      </c>
      <c r="AC1266">
        <v>73.84</v>
      </c>
    </row>
    <row r="1267" spans="1:29">
      <c r="A1267">
        <v>1260</v>
      </c>
      <c r="B1267">
        <v>3122</v>
      </c>
      <c r="C1267" t="s">
        <v>1320</v>
      </c>
      <c r="D1267" t="s">
        <v>31</v>
      </c>
      <c r="E1267" t="s">
        <v>79</v>
      </c>
      <c r="F1267" t="s">
        <v>2910</v>
      </c>
      <c r="G1267" t="str">
        <f>"00590481"</f>
        <v>00590481</v>
      </c>
      <c r="H1267">
        <v>36.799999999999997</v>
      </c>
      <c r="I1267">
        <v>0</v>
      </c>
      <c r="L1267">
        <v>8</v>
      </c>
      <c r="M1267">
        <v>8</v>
      </c>
      <c r="N1267">
        <v>4</v>
      </c>
      <c r="O1267">
        <v>2</v>
      </c>
      <c r="P1267">
        <v>50.8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3</v>
      </c>
      <c r="AA1267">
        <v>20</v>
      </c>
      <c r="AC1267">
        <v>73.8</v>
      </c>
    </row>
    <row r="1268" spans="1:29">
      <c r="A1268">
        <v>1261</v>
      </c>
      <c r="B1268">
        <v>1271</v>
      </c>
      <c r="C1268" t="s">
        <v>2911</v>
      </c>
      <c r="D1268" t="s">
        <v>510</v>
      </c>
      <c r="E1268" t="s">
        <v>79</v>
      </c>
      <c r="F1268" t="s">
        <v>2912</v>
      </c>
      <c r="G1268" t="str">
        <f>"00291816"</f>
        <v>00291816</v>
      </c>
      <c r="H1268">
        <v>64.8</v>
      </c>
      <c r="I1268">
        <v>0</v>
      </c>
      <c r="M1268">
        <v>0</v>
      </c>
      <c r="N1268">
        <v>0</v>
      </c>
      <c r="O1268">
        <v>0</v>
      </c>
      <c r="P1268">
        <v>64.8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9</v>
      </c>
      <c r="AA1268">
        <v>0</v>
      </c>
      <c r="AC1268">
        <v>73.8</v>
      </c>
    </row>
    <row r="1269" spans="1:29">
      <c r="A1269">
        <v>1262</v>
      </c>
      <c r="B1269">
        <v>847</v>
      </c>
      <c r="C1269" t="s">
        <v>2913</v>
      </c>
      <c r="D1269" t="s">
        <v>52</v>
      </c>
      <c r="E1269" t="s">
        <v>18</v>
      </c>
      <c r="F1269" t="s">
        <v>2914</v>
      </c>
      <c r="G1269" t="str">
        <f>"00531810"</f>
        <v>00531810</v>
      </c>
      <c r="H1269">
        <v>64.8</v>
      </c>
      <c r="I1269">
        <v>0</v>
      </c>
      <c r="L1269">
        <v>4</v>
      </c>
      <c r="M1269">
        <v>4</v>
      </c>
      <c r="N1269">
        <v>4</v>
      </c>
      <c r="O1269">
        <v>0</v>
      </c>
      <c r="P1269">
        <v>72.8</v>
      </c>
      <c r="Q1269">
        <v>1</v>
      </c>
      <c r="R1269">
        <v>1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1</v>
      </c>
      <c r="Z1269">
        <v>0</v>
      </c>
      <c r="AA1269">
        <v>0</v>
      </c>
      <c r="AC1269">
        <v>73.8</v>
      </c>
    </row>
    <row r="1270" spans="1:29">
      <c r="A1270">
        <v>1263</v>
      </c>
      <c r="B1270">
        <v>1174</v>
      </c>
      <c r="C1270" t="s">
        <v>2915</v>
      </c>
      <c r="D1270" t="s">
        <v>784</v>
      </c>
      <c r="E1270" t="s">
        <v>79</v>
      </c>
      <c r="F1270" t="s">
        <v>2916</v>
      </c>
      <c r="G1270" t="str">
        <f>"00245790"</f>
        <v>00245790</v>
      </c>
      <c r="H1270">
        <v>28.8</v>
      </c>
      <c r="I1270">
        <v>0</v>
      </c>
      <c r="J1270">
        <v>8</v>
      </c>
      <c r="K1270">
        <v>6</v>
      </c>
      <c r="M1270">
        <v>14</v>
      </c>
      <c r="N1270">
        <v>4</v>
      </c>
      <c r="O1270">
        <v>2</v>
      </c>
      <c r="P1270">
        <v>48.8</v>
      </c>
      <c r="Q1270">
        <v>25</v>
      </c>
      <c r="R1270">
        <v>25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25</v>
      </c>
      <c r="Z1270">
        <v>0</v>
      </c>
      <c r="AA1270">
        <v>0</v>
      </c>
      <c r="AC1270">
        <v>73.8</v>
      </c>
    </row>
    <row r="1271" spans="1:29">
      <c r="A1271">
        <v>1264</v>
      </c>
      <c r="B1271">
        <v>1509</v>
      </c>
      <c r="C1271" t="s">
        <v>2917</v>
      </c>
      <c r="D1271" t="s">
        <v>27</v>
      </c>
      <c r="E1271" t="s">
        <v>15</v>
      </c>
      <c r="F1271" t="s">
        <v>2918</v>
      </c>
      <c r="G1271" t="str">
        <f>"00560536"</f>
        <v>00560536</v>
      </c>
      <c r="H1271">
        <v>57.6</v>
      </c>
      <c r="I1271">
        <v>0</v>
      </c>
      <c r="L1271">
        <v>4</v>
      </c>
      <c r="M1271">
        <v>4</v>
      </c>
      <c r="N1271">
        <v>4</v>
      </c>
      <c r="O1271">
        <v>2</v>
      </c>
      <c r="P1271">
        <v>67.599999999999994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6</v>
      </c>
      <c r="AA1271">
        <v>0</v>
      </c>
      <c r="AC1271">
        <v>73.599999999999994</v>
      </c>
    </row>
    <row r="1272" spans="1:29">
      <c r="A1272">
        <v>1265</v>
      </c>
      <c r="B1272">
        <v>3471</v>
      </c>
      <c r="C1272" t="s">
        <v>2919</v>
      </c>
      <c r="D1272" t="s">
        <v>52</v>
      </c>
      <c r="E1272" t="s">
        <v>533</v>
      </c>
      <c r="F1272" t="s">
        <v>2920</v>
      </c>
      <c r="G1272" t="str">
        <f>"00482587"</f>
        <v>00482587</v>
      </c>
      <c r="H1272">
        <v>9.6</v>
      </c>
      <c r="I1272">
        <v>0</v>
      </c>
      <c r="M1272">
        <v>0</v>
      </c>
      <c r="N1272">
        <v>0</v>
      </c>
      <c r="O1272">
        <v>0</v>
      </c>
      <c r="P1272">
        <v>9.6</v>
      </c>
      <c r="Q1272">
        <v>61</v>
      </c>
      <c r="R1272">
        <v>61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61</v>
      </c>
      <c r="Z1272">
        <v>3</v>
      </c>
      <c r="AA1272">
        <v>0</v>
      </c>
      <c r="AC1272">
        <v>73.599999999999994</v>
      </c>
    </row>
    <row r="1273" spans="1:29">
      <c r="A1273">
        <v>1266</v>
      </c>
      <c r="B1273">
        <v>3728</v>
      </c>
      <c r="C1273" t="s">
        <v>1670</v>
      </c>
      <c r="D1273" t="s">
        <v>930</v>
      </c>
      <c r="E1273" t="s">
        <v>60</v>
      </c>
      <c r="F1273" t="s">
        <v>2921</v>
      </c>
      <c r="G1273" t="str">
        <f>"00860870"</f>
        <v>00860870</v>
      </c>
      <c r="H1273">
        <v>57.6</v>
      </c>
      <c r="I1273">
        <v>10</v>
      </c>
      <c r="M1273">
        <v>0</v>
      </c>
      <c r="N1273">
        <v>4</v>
      </c>
      <c r="O1273">
        <v>2</v>
      </c>
      <c r="P1273">
        <v>73.599999999999994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0</v>
      </c>
      <c r="AC1273">
        <v>73.599999999999994</v>
      </c>
    </row>
    <row r="1274" spans="1:29">
      <c r="A1274">
        <v>1267</v>
      </c>
      <c r="B1274">
        <v>782</v>
      </c>
      <c r="C1274" t="s">
        <v>571</v>
      </c>
      <c r="D1274" t="s">
        <v>63</v>
      </c>
      <c r="E1274" t="s">
        <v>60</v>
      </c>
      <c r="F1274" t="s">
        <v>2922</v>
      </c>
      <c r="G1274" t="str">
        <f>"00024637"</f>
        <v>00024637</v>
      </c>
      <c r="H1274">
        <v>35.6</v>
      </c>
      <c r="I1274">
        <v>0</v>
      </c>
      <c r="M1274">
        <v>0</v>
      </c>
      <c r="N1274">
        <v>4</v>
      </c>
      <c r="O1274">
        <v>0</v>
      </c>
      <c r="P1274">
        <v>39.6</v>
      </c>
      <c r="Q1274">
        <v>34</v>
      </c>
      <c r="R1274">
        <v>34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34</v>
      </c>
      <c r="Z1274">
        <v>0</v>
      </c>
      <c r="AA1274">
        <v>0</v>
      </c>
      <c r="AC1274">
        <v>73.599999999999994</v>
      </c>
    </row>
    <row r="1275" spans="1:29">
      <c r="A1275">
        <v>1268</v>
      </c>
      <c r="B1275">
        <v>3603</v>
      </c>
      <c r="C1275" t="s">
        <v>1966</v>
      </c>
      <c r="D1275" t="s">
        <v>930</v>
      </c>
      <c r="E1275" t="s">
        <v>889</v>
      </c>
      <c r="F1275" t="s">
        <v>2923</v>
      </c>
      <c r="G1275" t="str">
        <f>"00418333"</f>
        <v>00418333</v>
      </c>
      <c r="H1275">
        <v>39.6</v>
      </c>
      <c r="I1275">
        <v>0</v>
      </c>
      <c r="M1275">
        <v>0</v>
      </c>
      <c r="N1275">
        <v>4</v>
      </c>
      <c r="O1275">
        <v>0</v>
      </c>
      <c r="P1275">
        <v>43.6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3</v>
      </c>
      <c r="AA1275">
        <v>26.8</v>
      </c>
      <c r="AC1275">
        <v>73.400000000000006</v>
      </c>
    </row>
    <row r="1276" spans="1:29">
      <c r="A1276">
        <v>1269</v>
      </c>
      <c r="B1276">
        <v>3888</v>
      </c>
      <c r="C1276" t="s">
        <v>2924</v>
      </c>
      <c r="D1276" t="s">
        <v>52</v>
      </c>
      <c r="E1276" t="s">
        <v>134</v>
      </c>
      <c r="F1276" t="s">
        <v>2925</v>
      </c>
      <c r="G1276" t="str">
        <f>"00350924"</f>
        <v>00350924</v>
      </c>
      <c r="H1276">
        <v>50.4</v>
      </c>
      <c r="I1276">
        <v>10</v>
      </c>
      <c r="M1276">
        <v>0</v>
      </c>
      <c r="N1276">
        <v>4</v>
      </c>
      <c r="O1276">
        <v>0</v>
      </c>
      <c r="P1276">
        <v>64.400000000000006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9</v>
      </c>
      <c r="AA1276">
        <v>0</v>
      </c>
      <c r="AC1276">
        <v>73.400000000000006</v>
      </c>
    </row>
    <row r="1277" spans="1:29">
      <c r="A1277">
        <v>1270</v>
      </c>
      <c r="B1277">
        <v>2898</v>
      </c>
      <c r="C1277" t="s">
        <v>2926</v>
      </c>
      <c r="D1277" t="s">
        <v>98</v>
      </c>
      <c r="E1277" t="s">
        <v>79</v>
      </c>
      <c r="F1277" t="s">
        <v>2927</v>
      </c>
      <c r="G1277" t="str">
        <f>"00514896"</f>
        <v>00514896</v>
      </c>
      <c r="H1277">
        <v>36.4</v>
      </c>
      <c r="I1277">
        <v>0</v>
      </c>
      <c r="J1277">
        <v>8</v>
      </c>
      <c r="M1277">
        <v>8</v>
      </c>
      <c r="N1277">
        <v>4</v>
      </c>
      <c r="O1277">
        <v>2</v>
      </c>
      <c r="P1277">
        <v>50.4</v>
      </c>
      <c r="Q1277">
        <v>17</v>
      </c>
      <c r="R1277">
        <v>17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17</v>
      </c>
      <c r="Z1277">
        <v>6</v>
      </c>
      <c r="AA1277">
        <v>0</v>
      </c>
      <c r="AC1277">
        <v>73.400000000000006</v>
      </c>
    </row>
    <row r="1278" spans="1:29">
      <c r="A1278">
        <v>1271</v>
      </c>
      <c r="B1278">
        <v>1493</v>
      </c>
      <c r="C1278" t="s">
        <v>2928</v>
      </c>
      <c r="D1278" t="s">
        <v>179</v>
      </c>
      <c r="E1278" t="s">
        <v>621</v>
      </c>
      <c r="F1278" t="s">
        <v>2929</v>
      </c>
      <c r="G1278" t="str">
        <f>"20160706556"</f>
        <v>20160706556</v>
      </c>
      <c r="H1278">
        <v>39.28</v>
      </c>
      <c r="I1278">
        <v>0</v>
      </c>
      <c r="L1278">
        <v>4</v>
      </c>
      <c r="M1278">
        <v>4</v>
      </c>
      <c r="N1278">
        <v>4</v>
      </c>
      <c r="O1278">
        <v>2</v>
      </c>
      <c r="P1278">
        <v>49.28</v>
      </c>
      <c r="Q1278">
        <v>18</v>
      </c>
      <c r="R1278">
        <v>18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18</v>
      </c>
      <c r="Z1278">
        <v>6</v>
      </c>
      <c r="AA1278">
        <v>0</v>
      </c>
      <c r="AC1278">
        <v>73.28</v>
      </c>
    </row>
    <row r="1279" spans="1:29">
      <c r="A1279">
        <v>1272</v>
      </c>
      <c r="B1279">
        <v>3445</v>
      </c>
      <c r="C1279" t="s">
        <v>2930</v>
      </c>
      <c r="D1279" t="s">
        <v>164</v>
      </c>
      <c r="E1279" t="s">
        <v>60</v>
      </c>
      <c r="F1279" t="s">
        <v>2931</v>
      </c>
      <c r="G1279" t="str">
        <f>"00372652"</f>
        <v>00372652</v>
      </c>
      <c r="H1279">
        <v>43.2</v>
      </c>
      <c r="I1279">
        <v>0</v>
      </c>
      <c r="L1279">
        <v>4</v>
      </c>
      <c r="M1279">
        <v>4</v>
      </c>
      <c r="N1279">
        <v>4</v>
      </c>
      <c r="O1279">
        <v>0</v>
      </c>
      <c r="P1279">
        <v>51.2</v>
      </c>
      <c r="Q1279">
        <v>0</v>
      </c>
      <c r="R1279">
        <v>0</v>
      </c>
      <c r="S1279">
        <v>8</v>
      </c>
      <c r="T1279">
        <v>16</v>
      </c>
      <c r="U1279">
        <v>0</v>
      </c>
      <c r="V1279">
        <v>0</v>
      </c>
      <c r="W1279">
        <v>0</v>
      </c>
      <c r="X1279">
        <v>0</v>
      </c>
      <c r="Y1279">
        <v>16</v>
      </c>
      <c r="Z1279">
        <v>6</v>
      </c>
      <c r="AA1279">
        <v>0</v>
      </c>
      <c r="AC1279">
        <v>73.2</v>
      </c>
    </row>
    <row r="1280" spans="1:29">
      <c r="A1280">
        <v>1273</v>
      </c>
      <c r="B1280">
        <v>4093</v>
      </c>
      <c r="C1280" t="s">
        <v>2934</v>
      </c>
      <c r="D1280" t="s">
        <v>52</v>
      </c>
      <c r="E1280" t="s">
        <v>79</v>
      </c>
      <c r="F1280" t="s">
        <v>2935</v>
      </c>
      <c r="G1280" t="str">
        <f>"00531862"</f>
        <v>00531862</v>
      </c>
      <c r="H1280">
        <v>43.2</v>
      </c>
      <c r="I1280">
        <v>0</v>
      </c>
      <c r="L1280">
        <v>4</v>
      </c>
      <c r="M1280">
        <v>4</v>
      </c>
      <c r="N1280">
        <v>0</v>
      </c>
      <c r="O1280">
        <v>2</v>
      </c>
      <c r="P1280">
        <v>49.2</v>
      </c>
      <c r="Q1280">
        <v>18</v>
      </c>
      <c r="R1280">
        <v>18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18</v>
      </c>
      <c r="Z1280">
        <v>6</v>
      </c>
      <c r="AA1280">
        <v>0</v>
      </c>
      <c r="AC1280">
        <v>73.2</v>
      </c>
    </row>
    <row r="1281" spans="1:29">
      <c r="A1281">
        <v>1274</v>
      </c>
      <c r="B1281">
        <v>1224</v>
      </c>
      <c r="C1281" t="s">
        <v>2932</v>
      </c>
      <c r="D1281" t="s">
        <v>175</v>
      </c>
      <c r="E1281" t="s">
        <v>156</v>
      </c>
      <c r="F1281" t="s">
        <v>2933</v>
      </c>
      <c r="G1281" t="str">
        <f>"00037210"</f>
        <v>00037210</v>
      </c>
      <c r="H1281">
        <v>43.2</v>
      </c>
      <c r="I1281">
        <v>0</v>
      </c>
      <c r="M1281">
        <v>0</v>
      </c>
      <c r="N1281">
        <v>4</v>
      </c>
      <c r="O1281">
        <v>2</v>
      </c>
      <c r="P1281">
        <v>49.2</v>
      </c>
      <c r="Q1281">
        <v>18</v>
      </c>
      <c r="R1281">
        <v>18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18</v>
      </c>
      <c r="Z1281">
        <v>6</v>
      </c>
      <c r="AA1281">
        <v>0</v>
      </c>
      <c r="AC1281">
        <v>73.2</v>
      </c>
    </row>
    <row r="1282" spans="1:29">
      <c r="A1282">
        <v>1275</v>
      </c>
      <c r="B1282">
        <v>2506</v>
      </c>
      <c r="C1282" t="s">
        <v>2936</v>
      </c>
      <c r="D1282" t="s">
        <v>145</v>
      </c>
      <c r="E1282" t="s">
        <v>122</v>
      </c>
      <c r="F1282" t="s">
        <v>2937</v>
      </c>
      <c r="G1282" t="str">
        <f>"00261541"</f>
        <v>00261541</v>
      </c>
      <c r="H1282">
        <v>29.08</v>
      </c>
      <c r="I1282">
        <v>0</v>
      </c>
      <c r="J1282">
        <v>8</v>
      </c>
      <c r="M1282">
        <v>8</v>
      </c>
      <c r="N1282">
        <v>4</v>
      </c>
      <c r="O1282">
        <v>0</v>
      </c>
      <c r="P1282">
        <v>41.08</v>
      </c>
      <c r="Q1282">
        <v>23</v>
      </c>
      <c r="R1282">
        <v>23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23</v>
      </c>
      <c r="Z1282">
        <v>9</v>
      </c>
      <c r="AA1282">
        <v>0</v>
      </c>
      <c r="AC1282">
        <v>73.08</v>
      </c>
    </row>
    <row r="1283" spans="1:29">
      <c r="A1283">
        <v>1276</v>
      </c>
      <c r="B1283">
        <v>1168</v>
      </c>
      <c r="C1283" t="s">
        <v>2938</v>
      </c>
      <c r="D1283" t="s">
        <v>784</v>
      </c>
      <c r="E1283" t="s">
        <v>410</v>
      </c>
      <c r="F1283" t="s">
        <v>2939</v>
      </c>
      <c r="G1283" t="str">
        <f>"00525792"</f>
        <v>00525792</v>
      </c>
      <c r="H1283">
        <v>21.08</v>
      </c>
      <c r="I1283">
        <v>0</v>
      </c>
      <c r="M1283">
        <v>0</v>
      </c>
      <c r="N1283">
        <v>0</v>
      </c>
      <c r="O1283">
        <v>0</v>
      </c>
      <c r="P1283">
        <v>21.08</v>
      </c>
      <c r="Q1283">
        <v>49</v>
      </c>
      <c r="R1283">
        <v>49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49</v>
      </c>
      <c r="Z1283">
        <v>3</v>
      </c>
      <c r="AA1283">
        <v>0</v>
      </c>
      <c r="AC1283">
        <v>73.08</v>
      </c>
    </row>
    <row r="1284" spans="1:29">
      <c r="A1284">
        <v>1277</v>
      </c>
      <c r="B1284">
        <v>46</v>
      </c>
      <c r="C1284" t="s">
        <v>250</v>
      </c>
      <c r="D1284" t="s">
        <v>164</v>
      </c>
      <c r="E1284" t="s">
        <v>99</v>
      </c>
      <c r="F1284" t="s">
        <v>2940</v>
      </c>
      <c r="G1284" t="str">
        <f>"200904000235"</f>
        <v>200904000235</v>
      </c>
      <c r="H1284">
        <v>40</v>
      </c>
      <c r="I1284">
        <v>10</v>
      </c>
      <c r="J1284">
        <v>8</v>
      </c>
      <c r="M1284">
        <v>8</v>
      </c>
      <c r="N1284">
        <v>4</v>
      </c>
      <c r="O1284">
        <v>2</v>
      </c>
      <c r="P1284">
        <v>64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9</v>
      </c>
      <c r="AA1284">
        <v>0</v>
      </c>
      <c r="AC1284">
        <v>73</v>
      </c>
    </row>
    <row r="1285" spans="1:29">
      <c r="A1285">
        <v>1278</v>
      </c>
      <c r="B1285">
        <v>2900</v>
      </c>
      <c r="C1285" t="s">
        <v>2941</v>
      </c>
      <c r="D1285" t="s">
        <v>86</v>
      </c>
      <c r="E1285" t="s">
        <v>156</v>
      </c>
      <c r="F1285" t="s">
        <v>2942</v>
      </c>
      <c r="G1285" t="str">
        <f>"00534903"</f>
        <v>00534903</v>
      </c>
      <c r="H1285">
        <v>40</v>
      </c>
      <c r="I1285">
        <v>10</v>
      </c>
      <c r="J1285">
        <v>8</v>
      </c>
      <c r="M1285">
        <v>8</v>
      </c>
      <c r="N1285">
        <v>4</v>
      </c>
      <c r="O1285">
        <v>2</v>
      </c>
      <c r="P1285">
        <v>64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9</v>
      </c>
      <c r="AA1285">
        <v>0</v>
      </c>
      <c r="AC1285">
        <v>73</v>
      </c>
    </row>
    <row r="1286" spans="1:29">
      <c r="A1286">
        <v>1279</v>
      </c>
      <c r="B1286">
        <v>4144</v>
      </c>
      <c r="C1286" t="s">
        <v>2945</v>
      </c>
      <c r="D1286" t="s">
        <v>159</v>
      </c>
      <c r="E1286" t="s">
        <v>18</v>
      </c>
      <c r="F1286" t="s">
        <v>2946</v>
      </c>
      <c r="G1286" t="str">
        <f>"200802011399"</f>
        <v>200802011399</v>
      </c>
      <c r="H1286">
        <v>40</v>
      </c>
      <c r="I1286">
        <v>0</v>
      </c>
      <c r="L1286">
        <v>4</v>
      </c>
      <c r="M1286">
        <v>4</v>
      </c>
      <c r="N1286">
        <v>4</v>
      </c>
      <c r="O1286">
        <v>2</v>
      </c>
      <c r="P1286">
        <v>50</v>
      </c>
      <c r="Q1286">
        <v>17</v>
      </c>
      <c r="R1286">
        <v>17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17</v>
      </c>
      <c r="Z1286">
        <v>6</v>
      </c>
      <c r="AA1286">
        <v>0</v>
      </c>
      <c r="AC1286">
        <v>73</v>
      </c>
    </row>
    <row r="1287" spans="1:29">
      <c r="A1287">
        <v>1280</v>
      </c>
      <c r="B1287">
        <v>3244</v>
      </c>
      <c r="C1287" t="s">
        <v>2943</v>
      </c>
      <c r="D1287" t="s">
        <v>27</v>
      </c>
      <c r="E1287" t="s">
        <v>122</v>
      </c>
      <c r="F1287" t="s">
        <v>2944</v>
      </c>
      <c r="G1287" t="str">
        <f>"00273099"</f>
        <v>00273099</v>
      </c>
      <c r="H1287">
        <v>40</v>
      </c>
      <c r="I1287">
        <v>0</v>
      </c>
      <c r="L1287">
        <v>4</v>
      </c>
      <c r="M1287">
        <v>4</v>
      </c>
      <c r="N1287">
        <v>4</v>
      </c>
      <c r="O1287">
        <v>2</v>
      </c>
      <c r="P1287">
        <v>50</v>
      </c>
      <c r="Q1287">
        <v>17</v>
      </c>
      <c r="R1287">
        <v>17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17</v>
      </c>
      <c r="Z1287">
        <v>6</v>
      </c>
      <c r="AA1287">
        <v>0</v>
      </c>
      <c r="AC1287">
        <v>73</v>
      </c>
    </row>
    <row r="1288" spans="1:29">
      <c r="A1288">
        <v>1281</v>
      </c>
      <c r="B1288">
        <v>2708</v>
      </c>
      <c r="C1288" t="s">
        <v>1341</v>
      </c>
      <c r="D1288" t="s">
        <v>2947</v>
      </c>
      <c r="E1288" t="s">
        <v>2361</v>
      </c>
      <c r="F1288" t="s">
        <v>2948</v>
      </c>
      <c r="G1288" t="str">
        <f>"00158998"</f>
        <v>00158998</v>
      </c>
      <c r="H1288">
        <v>34</v>
      </c>
      <c r="I1288">
        <v>10</v>
      </c>
      <c r="M1288">
        <v>0</v>
      </c>
      <c r="N1288">
        <v>4</v>
      </c>
      <c r="O1288">
        <v>2</v>
      </c>
      <c r="P1288">
        <v>50</v>
      </c>
      <c r="Q1288">
        <v>17</v>
      </c>
      <c r="R1288">
        <v>17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17</v>
      </c>
      <c r="Z1288">
        <v>6</v>
      </c>
      <c r="AA1288">
        <v>0</v>
      </c>
      <c r="AC1288">
        <v>73</v>
      </c>
    </row>
    <row r="1289" spans="1:29">
      <c r="A1289">
        <v>1282</v>
      </c>
      <c r="B1289">
        <v>2919</v>
      </c>
      <c r="C1289" t="s">
        <v>2949</v>
      </c>
      <c r="D1289" t="s">
        <v>1013</v>
      </c>
      <c r="E1289" t="s">
        <v>581</v>
      </c>
      <c r="F1289" t="s">
        <v>2950</v>
      </c>
      <c r="G1289" t="str">
        <f>"00507546"</f>
        <v>00507546</v>
      </c>
      <c r="H1289">
        <v>36</v>
      </c>
      <c r="I1289">
        <v>0</v>
      </c>
      <c r="L1289">
        <v>4</v>
      </c>
      <c r="M1289">
        <v>4</v>
      </c>
      <c r="N1289">
        <v>4</v>
      </c>
      <c r="O1289">
        <v>2</v>
      </c>
      <c r="P1289">
        <v>46</v>
      </c>
      <c r="Q1289">
        <v>27</v>
      </c>
      <c r="R1289">
        <v>27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27</v>
      </c>
      <c r="Z1289">
        <v>0</v>
      </c>
      <c r="AA1289">
        <v>0</v>
      </c>
      <c r="AC1289">
        <v>73</v>
      </c>
    </row>
    <row r="1290" spans="1:29">
      <c r="A1290">
        <v>1283</v>
      </c>
      <c r="B1290">
        <v>4351</v>
      </c>
      <c r="C1290" t="s">
        <v>2951</v>
      </c>
      <c r="D1290" t="s">
        <v>39</v>
      </c>
      <c r="E1290" t="s">
        <v>2952</v>
      </c>
      <c r="F1290" t="s">
        <v>2953</v>
      </c>
      <c r="G1290" t="str">
        <f>"00531901"</f>
        <v>00531901</v>
      </c>
      <c r="H1290">
        <v>36</v>
      </c>
      <c r="I1290">
        <v>0</v>
      </c>
      <c r="M1290">
        <v>0</v>
      </c>
      <c r="N1290">
        <v>4</v>
      </c>
      <c r="O1290">
        <v>0</v>
      </c>
      <c r="P1290">
        <v>40</v>
      </c>
      <c r="Q1290">
        <v>33</v>
      </c>
      <c r="R1290">
        <v>33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33</v>
      </c>
      <c r="Z1290">
        <v>0</v>
      </c>
      <c r="AA1290">
        <v>0</v>
      </c>
      <c r="AC1290">
        <v>73</v>
      </c>
    </row>
    <row r="1291" spans="1:29">
      <c r="A1291">
        <v>1284</v>
      </c>
      <c r="B1291">
        <v>1300</v>
      </c>
      <c r="C1291" t="s">
        <v>2954</v>
      </c>
      <c r="D1291" t="s">
        <v>279</v>
      </c>
      <c r="E1291" t="s">
        <v>533</v>
      </c>
      <c r="F1291" t="s">
        <v>2955</v>
      </c>
      <c r="G1291" t="str">
        <f>"00507987"</f>
        <v>00507987</v>
      </c>
      <c r="H1291">
        <v>0</v>
      </c>
      <c r="I1291">
        <v>10</v>
      </c>
      <c r="M1291">
        <v>0</v>
      </c>
      <c r="N1291">
        <v>0</v>
      </c>
      <c r="O1291">
        <v>0</v>
      </c>
      <c r="P1291">
        <v>10</v>
      </c>
      <c r="Q1291">
        <v>45</v>
      </c>
      <c r="R1291">
        <v>45</v>
      </c>
      <c r="S1291">
        <v>9</v>
      </c>
      <c r="T1291">
        <v>18</v>
      </c>
      <c r="U1291">
        <v>0</v>
      </c>
      <c r="V1291">
        <v>0</v>
      </c>
      <c r="W1291">
        <v>0</v>
      </c>
      <c r="X1291">
        <v>0</v>
      </c>
      <c r="Y1291">
        <v>63</v>
      </c>
      <c r="Z1291">
        <v>0</v>
      </c>
      <c r="AA1291">
        <v>0</v>
      </c>
      <c r="AC1291">
        <v>73</v>
      </c>
    </row>
    <row r="1292" spans="1:29">
      <c r="A1292">
        <v>1285</v>
      </c>
      <c r="B1292">
        <v>792</v>
      </c>
      <c r="C1292" t="s">
        <v>2957</v>
      </c>
      <c r="D1292" t="s">
        <v>155</v>
      </c>
      <c r="E1292" t="s">
        <v>36</v>
      </c>
      <c r="F1292" t="s">
        <v>2958</v>
      </c>
      <c r="G1292" t="str">
        <f>"201511005676"</f>
        <v>201511005676</v>
      </c>
      <c r="H1292">
        <v>28.8</v>
      </c>
      <c r="I1292">
        <v>10</v>
      </c>
      <c r="L1292">
        <v>4</v>
      </c>
      <c r="M1292">
        <v>4</v>
      </c>
      <c r="N1292">
        <v>4</v>
      </c>
      <c r="O1292">
        <v>2</v>
      </c>
      <c r="P1292">
        <v>48.8</v>
      </c>
      <c r="Q1292">
        <v>18</v>
      </c>
      <c r="R1292">
        <v>18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18</v>
      </c>
      <c r="Z1292">
        <v>6</v>
      </c>
      <c r="AA1292">
        <v>0</v>
      </c>
      <c r="AC1292">
        <v>72.8</v>
      </c>
    </row>
    <row r="1293" spans="1:29">
      <c r="A1293">
        <v>1286</v>
      </c>
      <c r="B1293">
        <v>914</v>
      </c>
      <c r="C1293" t="s">
        <v>1850</v>
      </c>
      <c r="D1293" t="s">
        <v>400</v>
      </c>
      <c r="E1293" t="s">
        <v>28</v>
      </c>
      <c r="F1293" t="s">
        <v>2956</v>
      </c>
      <c r="G1293" t="str">
        <f>"00531961"</f>
        <v>00531961</v>
      </c>
      <c r="H1293">
        <v>28.8</v>
      </c>
      <c r="I1293">
        <v>10</v>
      </c>
      <c r="L1293">
        <v>4</v>
      </c>
      <c r="M1293">
        <v>4</v>
      </c>
      <c r="N1293">
        <v>4</v>
      </c>
      <c r="O1293">
        <v>2</v>
      </c>
      <c r="P1293">
        <v>48.8</v>
      </c>
      <c r="Q1293">
        <v>18</v>
      </c>
      <c r="R1293">
        <v>18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18</v>
      </c>
      <c r="Z1293">
        <v>6</v>
      </c>
      <c r="AA1293">
        <v>0</v>
      </c>
      <c r="AC1293">
        <v>72.8</v>
      </c>
    </row>
    <row r="1294" spans="1:29">
      <c r="A1294">
        <v>1287</v>
      </c>
      <c r="B1294">
        <v>2747</v>
      </c>
      <c r="C1294" t="s">
        <v>2963</v>
      </c>
      <c r="D1294" t="s">
        <v>1278</v>
      </c>
      <c r="E1294" t="s">
        <v>36</v>
      </c>
      <c r="F1294" t="s">
        <v>2964</v>
      </c>
      <c r="G1294" t="str">
        <f>"00228201"</f>
        <v>00228201</v>
      </c>
      <c r="H1294">
        <v>64.8</v>
      </c>
      <c r="I1294">
        <v>0</v>
      </c>
      <c r="L1294">
        <v>4</v>
      </c>
      <c r="M1294">
        <v>4</v>
      </c>
      <c r="N1294">
        <v>4</v>
      </c>
      <c r="O1294">
        <v>0</v>
      </c>
      <c r="P1294">
        <v>72.8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0</v>
      </c>
      <c r="AC1294">
        <v>72.8</v>
      </c>
    </row>
    <row r="1295" spans="1:29">
      <c r="A1295">
        <v>1288</v>
      </c>
      <c r="B1295">
        <v>2086</v>
      </c>
      <c r="C1295" t="s">
        <v>2960</v>
      </c>
      <c r="D1295" t="s">
        <v>185</v>
      </c>
      <c r="E1295" t="s">
        <v>1749</v>
      </c>
      <c r="F1295" t="s">
        <v>2961</v>
      </c>
      <c r="G1295" t="str">
        <f>"00864982"</f>
        <v>00864982</v>
      </c>
      <c r="H1295">
        <v>64.8</v>
      </c>
      <c r="I1295">
        <v>0</v>
      </c>
      <c r="L1295">
        <v>4</v>
      </c>
      <c r="M1295">
        <v>4</v>
      </c>
      <c r="N1295">
        <v>4</v>
      </c>
      <c r="O1295">
        <v>0</v>
      </c>
      <c r="P1295">
        <v>72.8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0</v>
      </c>
      <c r="AC1295">
        <v>72.8</v>
      </c>
    </row>
    <row r="1296" spans="1:29">
      <c r="A1296">
        <v>1289</v>
      </c>
      <c r="B1296">
        <v>3629</v>
      </c>
      <c r="C1296" t="s">
        <v>2967</v>
      </c>
      <c r="D1296" t="s">
        <v>210</v>
      </c>
      <c r="E1296" t="s">
        <v>134</v>
      </c>
      <c r="F1296" t="s">
        <v>2968</v>
      </c>
      <c r="G1296" t="str">
        <f>"201402009651"</f>
        <v>201402009651</v>
      </c>
      <c r="H1296">
        <v>64.8</v>
      </c>
      <c r="I1296">
        <v>0</v>
      </c>
      <c r="L1296">
        <v>4</v>
      </c>
      <c r="M1296">
        <v>4</v>
      </c>
      <c r="N1296">
        <v>4</v>
      </c>
      <c r="O1296">
        <v>0</v>
      </c>
      <c r="P1296">
        <v>72.8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0</v>
      </c>
      <c r="AC1296">
        <v>72.8</v>
      </c>
    </row>
    <row r="1297" spans="1:29">
      <c r="A1297">
        <v>1290</v>
      </c>
      <c r="B1297">
        <v>4064</v>
      </c>
      <c r="C1297" t="s">
        <v>1664</v>
      </c>
      <c r="D1297" t="s">
        <v>1115</v>
      </c>
      <c r="E1297" t="s">
        <v>36</v>
      </c>
      <c r="F1297" t="s">
        <v>2962</v>
      </c>
      <c r="G1297" t="str">
        <f>"00736391"</f>
        <v>00736391</v>
      </c>
      <c r="H1297">
        <v>64.8</v>
      </c>
      <c r="I1297">
        <v>0</v>
      </c>
      <c r="L1297">
        <v>4</v>
      </c>
      <c r="M1297">
        <v>4</v>
      </c>
      <c r="N1297">
        <v>4</v>
      </c>
      <c r="O1297">
        <v>0</v>
      </c>
      <c r="P1297">
        <v>72.8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  <c r="AC1297">
        <v>72.8</v>
      </c>
    </row>
    <row r="1298" spans="1:29">
      <c r="A1298">
        <v>1291</v>
      </c>
      <c r="B1298">
        <v>1274</v>
      </c>
      <c r="C1298" t="s">
        <v>428</v>
      </c>
      <c r="D1298" t="s">
        <v>164</v>
      </c>
      <c r="E1298" t="s">
        <v>1272</v>
      </c>
      <c r="F1298" t="s">
        <v>2959</v>
      </c>
      <c r="G1298" t="str">
        <f>"00855252"</f>
        <v>00855252</v>
      </c>
      <c r="H1298">
        <v>64.8</v>
      </c>
      <c r="I1298">
        <v>0</v>
      </c>
      <c r="L1298">
        <v>4</v>
      </c>
      <c r="M1298">
        <v>4</v>
      </c>
      <c r="N1298">
        <v>4</v>
      </c>
      <c r="O1298">
        <v>0</v>
      </c>
      <c r="P1298">
        <v>72.8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C1298">
        <v>72.8</v>
      </c>
    </row>
    <row r="1299" spans="1:29">
      <c r="A1299">
        <v>1292</v>
      </c>
      <c r="B1299">
        <v>3828</v>
      </c>
      <c r="C1299" t="s">
        <v>2965</v>
      </c>
      <c r="D1299" t="s">
        <v>179</v>
      </c>
      <c r="E1299" t="s">
        <v>134</v>
      </c>
      <c r="F1299" t="s">
        <v>2966</v>
      </c>
      <c r="G1299" t="str">
        <f>"00530791"</f>
        <v>00530791</v>
      </c>
      <c r="H1299">
        <v>64.8</v>
      </c>
      <c r="I1299">
        <v>0</v>
      </c>
      <c r="L1299">
        <v>4</v>
      </c>
      <c r="M1299">
        <v>4</v>
      </c>
      <c r="N1299">
        <v>4</v>
      </c>
      <c r="O1299">
        <v>0</v>
      </c>
      <c r="P1299">
        <v>72.8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0</v>
      </c>
      <c r="AC1299">
        <v>72.8</v>
      </c>
    </row>
    <row r="1300" spans="1:29">
      <c r="A1300">
        <v>1293</v>
      </c>
      <c r="B1300">
        <v>2974</v>
      </c>
      <c r="C1300" t="s">
        <v>2969</v>
      </c>
      <c r="D1300" t="s">
        <v>784</v>
      </c>
      <c r="E1300" t="s">
        <v>79</v>
      </c>
      <c r="F1300" t="s">
        <v>2970</v>
      </c>
      <c r="G1300" t="str">
        <f>"00110359"</f>
        <v>00110359</v>
      </c>
      <c r="H1300">
        <v>28.8</v>
      </c>
      <c r="I1300">
        <v>10</v>
      </c>
      <c r="K1300">
        <v>6</v>
      </c>
      <c r="L1300">
        <v>4</v>
      </c>
      <c r="M1300">
        <v>10</v>
      </c>
      <c r="N1300">
        <v>4</v>
      </c>
      <c r="O1300">
        <v>2</v>
      </c>
      <c r="P1300">
        <v>54.8</v>
      </c>
      <c r="Q1300">
        <v>18</v>
      </c>
      <c r="R1300">
        <v>18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18</v>
      </c>
      <c r="Z1300">
        <v>0</v>
      </c>
      <c r="AA1300">
        <v>0</v>
      </c>
      <c r="AC1300">
        <v>72.8</v>
      </c>
    </row>
    <row r="1301" spans="1:29">
      <c r="A1301">
        <v>1294</v>
      </c>
      <c r="B1301">
        <v>201</v>
      </c>
      <c r="C1301" t="s">
        <v>2971</v>
      </c>
      <c r="D1301" t="s">
        <v>2972</v>
      </c>
      <c r="E1301" t="s">
        <v>32</v>
      </c>
      <c r="F1301" t="s">
        <v>2973</v>
      </c>
      <c r="G1301" t="str">
        <f>"00507682"</f>
        <v>00507682</v>
      </c>
      <c r="H1301">
        <v>29.76</v>
      </c>
      <c r="I1301">
        <v>0</v>
      </c>
      <c r="L1301">
        <v>4</v>
      </c>
      <c r="M1301">
        <v>4</v>
      </c>
      <c r="N1301">
        <v>0</v>
      </c>
      <c r="O1301">
        <v>2</v>
      </c>
      <c r="P1301">
        <v>35.76</v>
      </c>
      <c r="Q1301">
        <v>34</v>
      </c>
      <c r="R1301">
        <v>34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34</v>
      </c>
      <c r="Z1301">
        <v>3</v>
      </c>
      <c r="AA1301">
        <v>0</v>
      </c>
      <c r="AC1301">
        <v>72.760000000000005</v>
      </c>
    </row>
    <row r="1302" spans="1:29">
      <c r="A1302">
        <v>1295</v>
      </c>
      <c r="B1302">
        <v>3699</v>
      </c>
      <c r="C1302" t="s">
        <v>2974</v>
      </c>
      <c r="D1302" t="s">
        <v>39</v>
      </c>
      <c r="E1302" t="s">
        <v>60</v>
      </c>
      <c r="F1302" t="s">
        <v>2975</v>
      </c>
      <c r="G1302" t="str">
        <f>"00621645"</f>
        <v>00621645</v>
      </c>
      <c r="H1302">
        <v>57.6</v>
      </c>
      <c r="I1302">
        <v>0</v>
      </c>
      <c r="L1302">
        <v>4</v>
      </c>
      <c r="M1302">
        <v>4</v>
      </c>
      <c r="N1302">
        <v>0</v>
      </c>
      <c r="O1302">
        <v>2</v>
      </c>
      <c r="P1302">
        <v>63.6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9</v>
      </c>
      <c r="AA1302">
        <v>0</v>
      </c>
      <c r="AC1302">
        <v>72.599999999999994</v>
      </c>
    </row>
    <row r="1303" spans="1:29">
      <c r="A1303">
        <v>1296</v>
      </c>
      <c r="B1303">
        <v>313</v>
      </c>
      <c r="C1303" t="s">
        <v>1670</v>
      </c>
      <c r="D1303" t="s">
        <v>185</v>
      </c>
      <c r="E1303" t="s">
        <v>18</v>
      </c>
      <c r="F1303" t="s">
        <v>2976</v>
      </c>
      <c r="G1303" t="str">
        <f>"00439972"</f>
        <v>00439972</v>
      </c>
      <c r="H1303">
        <v>37.6</v>
      </c>
      <c r="I1303">
        <v>0</v>
      </c>
      <c r="L1303">
        <v>4</v>
      </c>
      <c r="M1303">
        <v>4</v>
      </c>
      <c r="N1303">
        <v>0</v>
      </c>
      <c r="O1303">
        <v>0</v>
      </c>
      <c r="P1303">
        <v>41.6</v>
      </c>
      <c r="Q1303">
        <v>25</v>
      </c>
      <c r="R1303">
        <v>25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25</v>
      </c>
      <c r="Z1303">
        <v>6</v>
      </c>
      <c r="AA1303">
        <v>0</v>
      </c>
      <c r="AC1303">
        <v>72.599999999999994</v>
      </c>
    </row>
    <row r="1304" spans="1:29">
      <c r="A1304">
        <v>1297</v>
      </c>
      <c r="B1304">
        <v>3143</v>
      </c>
      <c r="C1304" t="s">
        <v>1030</v>
      </c>
      <c r="D1304" t="s">
        <v>49</v>
      </c>
      <c r="E1304" t="s">
        <v>134</v>
      </c>
      <c r="F1304" t="s">
        <v>2977</v>
      </c>
      <c r="G1304" t="str">
        <f>"00532354"</f>
        <v>00532354</v>
      </c>
      <c r="H1304">
        <v>21.6</v>
      </c>
      <c r="I1304">
        <v>0</v>
      </c>
      <c r="M1304">
        <v>0</v>
      </c>
      <c r="N1304">
        <v>4</v>
      </c>
      <c r="O1304">
        <v>2</v>
      </c>
      <c r="P1304">
        <v>27.6</v>
      </c>
      <c r="Q1304">
        <v>39</v>
      </c>
      <c r="R1304">
        <v>39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39</v>
      </c>
      <c r="Z1304">
        <v>6</v>
      </c>
      <c r="AA1304">
        <v>0</v>
      </c>
      <c r="AC1304">
        <v>72.599999999999994</v>
      </c>
    </row>
    <row r="1305" spans="1:29">
      <c r="A1305">
        <v>1298</v>
      </c>
      <c r="B1305">
        <v>3853</v>
      </c>
      <c r="C1305" t="s">
        <v>2980</v>
      </c>
      <c r="D1305" t="s">
        <v>544</v>
      </c>
      <c r="E1305" t="s">
        <v>134</v>
      </c>
      <c r="F1305" t="s">
        <v>2981</v>
      </c>
      <c r="G1305" t="str">
        <f>"00605387"</f>
        <v>00605387</v>
      </c>
      <c r="H1305">
        <v>57.6</v>
      </c>
      <c r="I1305">
        <v>0</v>
      </c>
      <c r="K1305">
        <v>6</v>
      </c>
      <c r="M1305">
        <v>6</v>
      </c>
      <c r="N1305">
        <v>4</v>
      </c>
      <c r="O1305">
        <v>2</v>
      </c>
      <c r="P1305">
        <v>69.599999999999994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3</v>
      </c>
      <c r="AA1305">
        <v>0</v>
      </c>
      <c r="AC1305">
        <v>72.599999999999994</v>
      </c>
    </row>
    <row r="1306" spans="1:29">
      <c r="A1306">
        <v>1299</v>
      </c>
      <c r="B1306">
        <v>3198</v>
      </c>
      <c r="C1306" t="s">
        <v>2978</v>
      </c>
      <c r="D1306" t="s">
        <v>39</v>
      </c>
      <c r="E1306" t="s">
        <v>581</v>
      </c>
      <c r="F1306" t="s">
        <v>2979</v>
      </c>
      <c r="G1306" t="str">
        <f>"00859053"</f>
        <v>00859053</v>
      </c>
      <c r="H1306">
        <v>57.6</v>
      </c>
      <c r="I1306">
        <v>0</v>
      </c>
      <c r="K1306">
        <v>6</v>
      </c>
      <c r="L1306">
        <v>4</v>
      </c>
      <c r="M1306">
        <v>10</v>
      </c>
      <c r="N1306">
        <v>0</v>
      </c>
      <c r="O1306">
        <v>2</v>
      </c>
      <c r="P1306">
        <v>69.599999999999994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3</v>
      </c>
      <c r="AA1306">
        <v>0</v>
      </c>
      <c r="AC1306">
        <v>72.599999999999994</v>
      </c>
    </row>
    <row r="1307" spans="1:29">
      <c r="A1307">
        <v>1300</v>
      </c>
      <c r="B1307">
        <v>2037</v>
      </c>
      <c r="C1307" t="s">
        <v>2982</v>
      </c>
      <c r="D1307" t="s">
        <v>31</v>
      </c>
      <c r="E1307" t="s">
        <v>15</v>
      </c>
      <c r="F1307" t="s">
        <v>2983</v>
      </c>
      <c r="G1307" t="str">
        <f>"00512524"</f>
        <v>00512524</v>
      </c>
      <c r="H1307">
        <v>21.6</v>
      </c>
      <c r="I1307">
        <v>0</v>
      </c>
      <c r="J1307">
        <v>8</v>
      </c>
      <c r="M1307">
        <v>8</v>
      </c>
      <c r="N1307">
        <v>4</v>
      </c>
      <c r="O1307">
        <v>2</v>
      </c>
      <c r="P1307">
        <v>35.6</v>
      </c>
      <c r="Q1307">
        <v>37</v>
      </c>
      <c r="R1307">
        <v>37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37</v>
      </c>
      <c r="Z1307">
        <v>0</v>
      </c>
      <c r="AA1307">
        <v>0</v>
      </c>
      <c r="AC1307">
        <v>72.599999999999994</v>
      </c>
    </row>
    <row r="1308" spans="1:29">
      <c r="A1308">
        <v>1301</v>
      </c>
      <c r="B1308">
        <v>4044</v>
      </c>
      <c r="C1308" t="s">
        <v>2984</v>
      </c>
      <c r="D1308" t="s">
        <v>2985</v>
      </c>
      <c r="E1308" t="s">
        <v>777</v>
      </c>
      <c r="F1308" t="s">
        <v>2986</v>
      </c>
      <c r="G1308" t="str">
        <f>"00855369"</f>
        <v>00855369</v>
      </c>
      <c r="H1308">
        <v>50.4</v>
      </c>
      <c r="I1308">
        <v>0</v>
      </c>
      <c r="M1308">
        <v>0</v>
      </c>
      <c r="N1308">
        <v>0</v>
      </c>
      <c r="O1308">
        <v>2</v>
      </c>
      <c r="P1308">
        <v>52.4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20</v>
      </c>
      <c r="AC1308">
        <v>72.400000000000006</v>
      </c>
    </row>
    <row r="1309" spans="1:29">
      <c r="A1309">
        <v>1302</v>
      </c>
      <c r="B1309">
        <v>3904</v>
      </c>
      <c r="C1309" t="s">
        <v>2987</v>
      </c>
      <c r="D1309" t="s">
        <v>2155</v>
      </c>
      <c r="E1309" t="s">
        <v>134</v>
      </c>
      <c r="F1309" t="s">
        <v>2988</v>
      </c>
      <c r="G1309" t="str">
        <f>"201511025938"</f>
        <v>201511025938</v>
      </c>
      <c r="H1309">
        <v>50.4</v>
      </c>
      <c r="I1309">
        <v>10</v>
      </c>
      <c r="M1309">
        <v>0</v>
      </c>
      <c r="N1309">
        <v>4</v>
      </c>
      <c r="O1309">
        <v>2</v>
      </c>
      <c r="P1309">
        <v>66.400000000000006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6</v>
      </c>
      <c r="AA1309">
        <v>0</v>
      </c>
      <c r="AC1309">
        <v>72.400000000000006</v>
      </c>
    </row>
    <row r="1310" spans="1:29">
      <c r="A1310">
        <v>1303</v>
      </c>
      <c r="B1310">
        <v>1190</v>
      </c>
      <c r="C1310" t="s">
        <v>2989</v>
      </c>
      <c r="D1310" t="s">
        <v>130</v>
      </c>
      <c r="E1310" t="s">
        <v>36</v>
      </c>
      <c r="F1310" t="s">
        <v>2990</v>
      </c>
      <c r="G1310" t="str">
        <f>"00530413"</f>
        <v>00530413</v>
      </c>
      <c r="H1310">
        <v>50.4</v>
      </c>
      <c r="I1310">
        <v>0</v>
      </c>
      <c r="L1310">
        <v>4</v>
      </c>
      <c r="M1310">
        <v>4</v>
      </c>
      <c r="N1310">
        <v>4</v>
      </c>
      <c r="O1310">
        <v>2</v>
      </c>
      <c r="P1310">
        <v>60.4</v>
      </c>
      <c r="Q1310">
        <v>6</v>
      </c>
      <c r="R1310">
        <v>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6</v>
      </c>
      <c r="Z1310">
        <v>6</v>
      </c>
      <c r="AA1310">
        <v>0</v>
      </c>
      <c r="AC1310">
        <v>72.400000000000006</v>
      </c>
    </row>
    <row r="1311" spans="1:29">
      <c r="A1311">
        <v>1304</v>
      </c>
      <c r="B1311">
        <v>4908</v>
      </c>
      <c r="C1311" t="s">
        <v>2993</v>
      </c>
      <c r="D1311" t="s">
        <v>27</v>
      </c>
      <c r="E1311" t="s">
        <v>2994</v>
      </c>
      <c r="F1311" t="s">
        <v>2995</v>
      </c>
      <c r="G1311" t="str">
        <f>"00537610"</f>
        <v>00537610</v>
      </c>
      <c r="H1311">
        <v>50.4</v>
      </c>
      <c r="I1311">
        <v>0</v>
      </c>
      <c r="J1311">
        <v>16</v>
      </c>
      <c r="M1311">
        <v>16</v>
      </c>
      <c r="N1311">
        <v>4</v>
      </c>
      <c r="O1311">
        <v>2</v>
      </c>
      <c r="P1311">
        <v>72.400000000000006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0</v>
      </c>
      <c r="AC1311">
        <v>72.400000000000006</v>
      </c>
    </row>
    <row r="1312" spans="1:29">
      <c r="A1312">
        <v>1305</v>
      </c>
      <c r="B1312">
        <v>52</v>
      </c>
      <c r="C1312" t="s">
        <v>2991</v>
      </c>
      <c r="D1312" t="s">
        <v>167</v>
      </c>
      <c r="E1312" t="s">
        <v>28</v>
      </c>
      <c r="F1312" t="s">
        <v>2992</v>
      </c>
      <c r="G1312" t="str">
        <f>"00113759"</f>
        <v>00113759</v>
      </c>
      <c r="H1312">
        <v>50.4</v>
      </c>
      <c r="I1312">
        <v>10</v>
      </c>
      <c r="K1312">
        <v>6</v>
      </c>
      <c r="M1312">
        <v>6</v>
      </c>
      <c r="N1312">
        <v>4</v>
      </c>
      <c r="O1312">
        <v>2</v>
      </c>
      <c r="P1312">
        <v>72.400000000000006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C1312">
        <v>72.400000000000006</v>
      </c>
    </row>
    <row r="1313" spans="1:29">
      <c r="A1313">
        <v>1306</v>
      </c>
      <c r="B1313">
        <v>3307</v>
      </c>
      <c r="C1313" t="s">
        <v>2996</v>
      </c>
      <c r="D1313" t="s">
        <v>39</v>
      </c>
      <c r="E1313" t="s">
        <v>322</v>
      </c>
      <c r="F1313" t="s">
        <v>2997</v>
      </c>
      <c r="G1313" t="str">
        <f>"00531921"</f>
        <v>00531921</v>
      </c>
      <c r="H1313">
        <v>50.4</v>
      </c>
      <c r="I1313">
        <v>10</v>
      </c>
      <c r="M1313">
        <v>0</v>
      </c>
      <c r="N1313">
        <v>4</v>
      </c>
      <c r="O1313">
        <v>0</v>
      </c>
      <c r="P1313">
        <v>64.400000000000006</v>
      </c>
      <c r="Q1313">
        <v>8</v>
      </c>
      <c r="R1313">
        <v>8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8</v>
      </c>
      <c r="Z1313">
        <v>0</v>
      </c>
      <c r="AA1313">
        <v>0</v>
      </c>
      <c r="AC1313">
        <v>72.400000000000006</v>
      </c>
    </row>
    <row r="1314" spans="1:29">
      <c r="A1314">
        <v>1307</v>
      </c>
      <c r="B1314">
        <v>4471</v>
      </c>
      <c r="C1314" t="s">
        <v>2998</v>
      </c>
      <c r="D1314" t="s">
        <v>164</v>
      </c>
      <c r="E1314" t="s">
        <v>15</v>
      </c>
      <c r="F1314" t="s">
        <v>2999</v>
      </c>
      <c r="G1314" t="str">
        <f>"00532894"</f>
        <v>00532894</v>
      </c>
      <c r="H1314">
        <v>50.4</v>
      </c>
      <c r="I1314">
        <v>0</v>
      </c>
      <c r="M1314">
        <v>0</v>
      </c>
      <c r="N1314">
        <v>4</v>
      </c>
      <c r="O1314">
        <v>0</v>
      </c>
      <c r="P1314">
        <v>54.4</v>
      </c>
      <c r="Q1314">
        <v>18</v>
      </c>
      <c r="R1314">
        <v>18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18</v>
      </c>
      <c r="Z1314">
        <v>0</v>
      </c>
      <c r="AA1314">
        <v>0</v>
      </c>
      <c r="AC1314">
        <v>72.400000000000006</v>
      </c>
    </row>
    <row r="1315" spans="1:29">
      <c r="A1315">
        <v>1308</v>
      </c>
      <c r="B1315">
        <v>1612</v>
      </c>
      <c r="C1315" t="s">
        <v>3000</v>
      </c>
      <c r="D1315" t="s">
        <v>130</v>
      </c>
      <c r="E1315" t="s">
        <v>79</v>
      </c>
      <c r="F1315" t="s">
        <v>3001</v>
      </c>
      <c r="G1315" t="str">
        <f>"00531795"</f>
        <v>00531795</v>
      </c>
      <c r="H1315">
        <v>14.4</v>
      </c>
      <c r="I1315">
        <v>10</v>
      </c>
      <c r="M1315">
        <v>0</v>
      </c>
      <c r="N1315">
        <v>4</v>
      </c>
      <c r="O1315">
        <v>0</v>
      </c>
      <c r="P1315">
        <v>28.4</v>
      </c>
      <c r="Q1315">
        <v>44</v>
      </c>
      <c r="R1315">
        <v>44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44</v>
      </c>
      <c r="Z1315">
        <v>0</v>
      </c>
      <c r="AA1315">
        <v>0</v>
      </c>
      <c r="AC1315">
        <v>72.400000000000006</v>
      </c>
    </row>
    <row r="1316" spans="1:29">
      <c r="A1316">
        <v>1309</v>
      </c>
      <c r="B1316">
        <v>1352</v>
      </c>
      <c r="C1316" t="s">
        <v>3002</v>
      </c>
      <c r="D1316" t="s">
        <v>39</v>
      </c>
      <c r="E1316" t="s">
        <v>224</v>
      </c>
      <c r="F1316" t="s">
        <v>3003</v>
      </c>
      <c r="G1316" t="str">
        <f>"00532080"</f>
        <v>00532080</v>
      </c>
      <c r="H1316">
        <v>28.8</v>
      </c>
      <c r="I1316">
        <v>0</v>
      </c>
      <c r="L1316">
        <v>4</v>
      </c>
      <c r="M1316">
        <v>4</v>
      </c>
      <c r="N1316">
        <v>4</v>
      </c>
      <c r="O1316">
        <v>0</v>
      </c>
      <c r="P1316">
        <v>36.799999999999997</v>
      </c>
      <c r="Q1316">
        <v>25</v>
      </c>
      <c r="R1316">
        <v>25</v>
      </c>
      <c r="S1316">
        <v>0</v>
      </c>
      <c r="T1316">
        <v>0</v>
      </c>
      <c r="U1316">
        <v>3</v>
      </c>
      <c r="V1316">
        <v>4.5</v>
      </c>
      <c r="W1316">
        <v>0</v>
      </c>
      <c r="X1316">
        <v>0</v>
      </c>
      <c r="Y1316">
        <v>29.5</v>
      </c>
      <c r="Z1316">
        <v>6</v>
      </c>
      <c r="AA1316">
        <v>0</v>
      </c>
      <c r="AC1316">
        <v>72.3</v>
      </c>
    </row>
    <row r="1317" spans="1:29">
      <c r="A1317">
        <v>1310</v>
      </c>
      <c r="B1317">
        <v>3949</v>
      </c>
      <c r="C1317" t="s">
        <v>682</v>
      </c>
      <c r="D1317" t="s">
        <v>3004</v>
      </c>
      <c r="E1317" t="s">
        <v>3005</v>
      </c>
      <c r="F1317" t="s">
        <v>3006</v>
      </c>
      <c r="G1317" t="str">
        <f>"00523745"</f>
        <v>00523745</v>
      </c>
      <c r="H1317">
        <v>43.2</v>
      </c>
      <c r="I1317">
        <v>0</v>
      </c>
      <c r="L1317">
        <v>4</v>
      </c>
      <c r="M1317">
        <v>4</v>
      </c>
      <c r="N1317">
        <v>4</v>
      </c>
      <c r="O1317">
        <v>0</v>
      </c>
      <c r="P1317">
        <v>51.2</v>
      </c>
      <c r="Q1317">
        <v>18</v>
      </c>
      <c r="R1317">
        <v>18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18</v>
      </c>
      <c r="Z1317">
        <v>3</v>
      </c>
      <c r="AA1317">
        <v>0</v>
      </c>
      <c r="AC1317">
        <v>72.2</v>
      </c>
    </row>
    <row r="1318" spans="1:29">
      <c r="A1318">
        <v>1311</v>
      </c>
      <c r="B1318">
        <v>3559</v>
      </c>
      <c r="C1318" t="s">
        <v>311</v>
      </c>
      <c r="D1318" t="s">
        <v>31</v>
      </c>
      <c r="E1318" t="s">
        <v>3007</v>
      </c>
      <c r="F1318" t="s">
        <v>3008</v>
      </c>
      <c r="G1318" t="str">
        <f>"00510455"</f>
        <v>00510455</v>
      </c>
      <c r="H1318">
        <v>43.2</v>
      </c>
      <c r="I1318">
        <v>0</v>
      </c>
      <c r="J1318">
        <v>8</v>
      </c>
      <c r="L1318">
        <v>4</v>
      </c>
      <c r="M1318">
        <v>12</v>
      </c>
      <c r="N1318">
        <v>4</v>
      </c>
      <c r="O1318">
        <v>2</v>
      </c>
      <c r="P1318">
        <v>61.2</v>
      </c>
      <c r="Q1318">
        <v>11</v>
      </c>
      <c r="R1318">
        <v>11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11</v>
      </c>
      <c r="Z1318">
        <v>0</v>
      </c>
      <c r="AA1318">
        <v>0</v>
      </c>
      <c r="AC1318">
        <v>72.2</v>
      </c>
    </row>
    <row r="1319" spans="1:29">
      <c r="A1319">
        <v>1312</v>
      </c>
      <c r="B1319">
        <v>1441</v>
      </c>
      <c r="C1319" t="s">
        <v>3009</v>
      </c>
      <c r="D1319" t="s">
        <v>27</v>
      </c>
      <c r="E1319" t="s">
        <v>53</v>
      </c>
      <c r="F1319" t="s">
        <v>3010</v>
      </c>
      <c r="G1319" t="str">
        <f>"00492024"</f>
        <v>00492024</v>
      </c>
      <c r="H1319">
        <v>34.159999999999997</v>
      </c>
      <c r="I1319">
        <v>0</v>
      </c>
      <c r="L1319">
        <v>4</v>
      </c>
      <c r="M1319">
        <v>4</v>
      </c>
      <c r="N1319">
        <v>4</v>
      </c>
      <c r="O1319">
        <v>2</v>
      </c>
      <c r="P1319">
        <v>44.16</v>
      </c>
      <c r="Q1319">
        <v>22</v>
      </c>
      <c r="R1319">
        <v>22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22</v>
      </c>
      <c r="Z1319">
        <v>6</v>
      </c>
      <c r="AA1319">
        <v>0</v>
      </c>
      <c r="AC1319">
        <v>72.16</v>
      </c>
    </row>
    <row r="1320" spans="1:29">
      <c r="A1320">
        <v>1313</v>
      </c>
      <c r="B1320">
        <v>139</v>
      </c>
      <c r="C1320" t="s">
        <v>3011</v>
      </c>
      <c r="D1320" t="s">
        <v>159</v>
      </c>
      <c r="E1320" t="s">
        <v>36</v>
      </c>
      <c r="F1320" t="s">
        <v>3012</v>
      </c>
      <c r="G1320" t="str">
        <f>"00005451"</f>
        <v>00005451</v>
      </c>
      <c r="H1320">
        <v>35.28</v>
      </c>
      <c r="I1320">
        <v>0</v>
      </c>
      <c r="M1320">
        <v>0</v>
      </c>
      <c r="N1320">
        <v>4</v>
      </c>
      <c r="O1320">
        <v>0</v>
      </c>
      <c r="P1320">
        <v>39.28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6</v>
      </c>
      <c r="AA1320">
        <v>26.8</v>
      </c>
      <c r="AC1320">
        <v>72.08</v>
      </c>
    </row>
    <row r="1321" spans="1:29">
      <c r="A1321">
        <v>1314</v>
      </c>
      <c r="B1321">
        <v>4426</v>
      </c>
      <c r="C1321" t="s">
        <v>3013</v>
      </c>
      <c r="D1321" t="s">
        <v>3014</v>
      </c>
      <c r="E1321" t="s">
        <v>647</v>
      </c>
      <c r="F1321" t="s">
        <v>3015</v>
      </c>
      <c r="G1321" t="str">
        <f>"00118865"</f>
        <v>00118865</v>
      </c>
      <c r="H1321">
        <v>36</v>
      </c>
      <c r="I1321">
        <v>0</v>
      </c>
      <c r="M1321">
        <v>0</v>
      </c>
      <c r="N1321">
        <v>4</v>
      </c>
      <c r="O1321">
        <v>0</v>
      </c>
      <c r="P1321">
        <v>40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32</v>
      </c>
      <c r="AB1321" t="s">
        <v>128</v>
      </c>
      <c r="AC1321">
        <v>72</v>
      </c>
    </row>
    <row r="1322" spans="1:29">
      <c r="A1322">
        <v>1315</v>
      </c>
      <c r="B1322">
        <v>4631</v>
      </c>
      <c r="C1322" t="s">
        <v>3016</v>
      </c>
      <c r="D1322" t="s">
        <v>52</v>
      </c>
      <c r="E1322" t="s">
        <v>79</v>
      </c>
      <c r="F1322" t="s">
        <v>3017</v>
      </c>
      <c r="G1322" t="str">
        <f>"00337703"</f>
        <v>00337703</v>
      </c>
      <c r="H1322">
        <v>36</v>
      </c>
      <c r="I1322">
        <v>10</v>
      </c>
      <c r="L1322">
        <v>4</v>
      </c>
      <c r="M1322">
        <v>4</v>
      </c>
      <c r="N1322">
        <v>0</v>
      </c>
      <c r="O1322">
        <v>2</v>
      </c>
      <c r="P1322">
        <v>52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20</v>
      </c>
      <c r="AC1322">
        <v>72</v>
      </c>
    </row>
    <row r="1323" spans="1:29">
      <c r="A1323">
        <v>1316</v>
      </c>
      <c r="B1323">
        <v>2281</v>
      </c>
      <c r="C1323" t="s">
        <v>3018</v>
      </c>
      <c r="D1323" t="s">
        <v>1187</v>
      </c>
      <c r="E1323" t="s">
        <v>79</v>
      </c>
      <c r="F1323" t="s">
        <v>3019</v>
      </c>
      <c r="G1323" t="str">
        <f>"00635254"</f>
        <v>00635254</v>
      </c>
      <c r="H1323">
        <v>40</v>
      </c>
      <c r="I1323">
        <v>0</v>
      </c>
      <c r="J1323">
        <v>8</v>
      </c>
      <c r="K1323">
        <v>6</v>
      </c>
      <c r="M1323">
        <v>14</v>
      </c>
      <c r="N1323">
        <v>4</v>
      </c>
      <c r="O1323">
        <v>2</v>
      </c>
      <c r="P1323">
        <v>60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12</v>
      </c>
      <c r="AA1323">
        <v>0</v>
      </c>
      <c r="AC1323">
        <v>72</v>
      </c>
    </row>
    <row r="1324" spans="1:29">
      <c r="A1324">
        <v>1317</v>
      </c>
      <c r="B1324">
        <v>980</v>
      </c>
      <c r="C1324" t="s">
        <v>3020</v>
      </c>
      <c r="D1324" t="s">
        <v>164</v>
      </c>
      <c r="E1324" t="s">
        <v>18</v>
      </c>
      <c r="F1324" t="s">
        <v>3021</v>
      </c>
      <c r="G1324" t="str">
        <f>"200802005461"</f>
        <v>200802005461</v>
      </c>
      <c r="H1324">
        <v>36</v>
      </c>
      <c r="I1324">
        <v>10</v>
      </c>
      <c r="J1324">
        <v>8</v>
      </c>
      <c r="M1324">
        <v>8</v>
      </c>
      <c r="N1324">
        <v>4</v>
      </c>
      <c r="O1324">
        <v>2</v>
      </c>
      <c r="P1324">
        <v>60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12</v>
      </c>
      <c r="AA1324">
        <v>0</v>
      </c>
      <c r="AC1324">
        <v>72</v>
      </c>
    </row>
    <row r="1325" spans="1:29">
      <c r="A1325">
        <v>1318</v>
      </c>
      <c r="B1325">
        <v>183</v>
      </c>
      <c r="C1325" t="s">
        <v>3022</v>
      </c>
      <c r="D1325" t="s">
        <v>52</v>
      </c>
      <c r="E1325" t="s">
        <v>15</v>
      </c>
      <c r="F1325" t="s">
        <v>3023</v>
      </c>
      <c r="G1325" t="str">
        <f>"00533815"</f>
        <v>00533815</v>
      </c>
      <c r="H1325">
        <v>36</v>
      </c>
      <c r="I1325">
        <v>0</v>
      </c>
      <c r="K1325">
        <v>6</v>
      </c>
      <c r="M1325">
        <v>6</v>
      </c>
      <c r="N1325">
        <v>4</v>
      </c>
      <c r="O1325">
        <v>2</v>
      </c>
      <c r="P1325">
        <v>48</v>
      </c>
      <c r="Q1325">
        <v>18</v>
      </c>
      <c r="R1325">
        <v>18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18</v>
      </c>
      <c r="Z1325">
        <v>6</v>
      </c>
      <c r="AA1325">
        <v>0</v>
      </c>
      <c r="AC1325">
        <v>72</v>
      </c>
    </row>
    <row r="1326" spans="1:29">
      <c r="A1326">
        <v>1319</v>
      </c>
      <c r="B1326">
        <v>1089</v>
      </c>
      <c r="C1326" t="s">
        <v>3024</v>
      </c>
      <c r="D1326" t="s">
        <v>248</v>
      </c>
      <c r="E1326" t="s">
        <v>18</v>
      </c>
      <c r="F1326" t="s">
        <v>3025</v>
      </c>
      <c r="G1326" t="str">
        <f>"00254421"</f>
        <v>00254421</v>
      </c>
      <c r="H1326">
        <v>36</v>
      </c>
      <c r="I1326">
        <v>0</v>
      </c>
      <c r="L1326">
        <v>4</v>
      </c>
      <c r="M1326">
        <v>4</v>
      </c>
      <c r="N1326">
        <v>4</v>
      </c>
      <c r="O1326">
        <v>0</v>
      </c>
      <c r="P1326">
        <v>44</v>
      </c>
      <c r="Q1326">
        <v>25</v>
      </c>
      <c r="R1326">
        <v>25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25</v>
      </c>
      <c r="Z1326">
        <v>3</v>
      </c>
      <c r="AA1326">
        <v>0</v>
      </c>
      <c r="AC1326">
        <v>72</v>
      </c>
    </row>
    <row r="1327" spans="1:29">
      <c r="A1327">
        <v>1320</v>
      </c>
      <c r="B1327">
        <v>4517</v>
      </c>
      <c r="C1327" t="s">
        <v>3029</v>
      </c>
      <c r="D1327" t="s">
        <v>413</v>
      </c>
      <c r="E1327" t="s">
        <v>36</v>
      </c>
      <c r="F1327" t="s">
        <v>3030</v>
      </c>
      <c r="G1327" t="str">
        <f>"00700633"</f>
        <v>00700633</v>
      </c>
      <c r="H1327">
        <v>72</v>
      </c>
      <c r="I1327">
        <v>0</v>
      </c>
      <c r="M1327">
        <v>0</v>
      </c>
      <c r="N1327">
        <v>0</v>
      </c>
      <c r="O1327">
        <v>0</v>
      </c>
      <c r="P1327">
        <v>72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C1327">
        <v>72</v>
      </c>
    </row>
    <row r="1328" spans="1:29">
      <c r="A1328">
        <v>1321</v>
      </c>
      <c r="B1328">
        <v>3615</v>
      </c>
      <c r="C1328" t="s">
        <v>3026</v>
      </c>
      <c r="D1328" t="s">
        <v>27</v>
      </c>
      <c r="E1328" t="s">
        <v>3027</v>
      </c>
      <c r="F1328" t="s">
        <v>3028</v>
      </c>
      <c r="G1328" t="str">
        <f>"00146989"</f>
        <v>00146989</v>
      </c>
      <c r="H1328">
        <v>72</v>
      </c>
      <c r="I1328">
        <v>0</v>
      </c>
      <c r="M1328">
        <v>0</v>
      </c>
      <c r="N1328">
        <v>0</v>
      </c>
      <c r="O1328">
        <v>0</v>
      </c>
      <c r="P1328">
        <v>72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C1328">
        <v>72</v>
      </c>
    </row>
    <row r="1329" spans="1:29">
      <c r="A1329">
        <v>1322</v>
      </c>
      <c r="B1329">
        <v>704</v>
      </c>
      <c r="C1329" t="s">
        <v>3031</v>
      </c>
      <c r="D1329" t="s">
        <v>49</v>
      </c>
      <c r="E1329" t="s">
        <v>15</v>
      </c>
      <c r="F1329" t="s">
        <v>3032</v>
      </c>
      <c r="G1329" t="str">
        <f>"00856627"</f>
        <v>00856627</v>
      </c>
      <c r="H1329">
        <v>72</v>
      </c>
      <c r="I1329">
        <v>0</v>
      </c>
      <c r="M1329">
        <v>0</v>
      </c>
      <c r="N1329">
        <v>0</v>
      </c>
      <c r="O1329">
        <v>0</v>
      </c>
      <c r="P1329">
        <v>72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C1329">
        <v>72</v>
      </c>
    </row>
    <row r="1330" spans="1:29">
      <c r="A1330">
        <v>1323</v>
      </c>
      <c r="B1330">
        <v>2022</v>
      </c>
      <c r="C1330" t="s">
        <v>3033</v>
      </c>
      <c r="D1330" t="s">
        <v>3034</v>
      </c>
      <c r="E1330" t="s">
        <v>79</v>
      </c>
      <c r="F1330" t="s">
        <v>3035</v>
      </c>
      <c r="G1330" t="str">
        <f>"00016580"</f>
        <v>00016580</v>
      </c>
      <c r="H1330">
        <v>38</v>
      </c>
      <c r="I1330">
        <v>10</v>
      </c>
      <c r="M1330">
        <v>0</v>
      </c>
      <c r="N1330">
        <v>4</v>
      </c>
      <c r="O1330">
        <v>2</v>
      </c>
      <c r="P1330">
        <v>54</v>
      </c>
      <c r="Q1330">
        <v>18</v>
      </c>
      <c r="R1330">
        <v>18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18</v>
      </c>
      <c r="Z1330">
        <v>0</v>
      </c>
      <c r="AA1330">
        <v>0</v>
      </c>
      <c r="AC1330">
        <v>72</v>
      </c>
    </row>
    <row r="1331" spans="1:29">
      <c r="A1331">
        <v>1324</v>
      </c>
      <c r="B1331">
        <v>1128</v>
      </c>
      <c r="C1331" t="s">
        <v>3036</v>
      </c>
      <c r="D1331" t="s">
        <v>20</v>
      </c>
      <c r="E1331" t="s">
        <v>66</v>
      </c>
      <c r="F1331" t="s">
        <v>3037</v>
      </c>
      <c r="G1331" t="str">
        <f>"00384708"</f>
        <v>00384708</v>
      </c>
      <c r="H1331">
        <v>29.16</v>
      </c>
      <c r="I1331">
        <v>0</v>
      </c>
      <c r="M1331">
        <v>0</v>
      </c>
      <c r="N1331">
        <v>4</v>
      </c>
      <c r="O1331">
        <v>0</v>
      </c>
      <c r="P1331">
        <v>33.159999999999997</v>
      </c>
      <c r="Q1331">
        <v>6</v>
      </c>
      <c r="R1331">
        <v>6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6</v>
      </c>
      <c r="Z1331">
        <v>6</v>
      </c>
      <c r="AA1331">
        <v>26.8</v>
      </c>
      <c r="AC1331">
        <v>71.959999999999994</v>
      </c>
    </row>
    <row r="1332" spans="1:29">
      <c r="A1332">
        <v>1325</v>
      </c>
      <c r="B1332">
        <v>855</v>
      </c>
      <c r="C1332" t="s">
        <v>3038</v>
      </c>
      <c r="D1332" t="s">
        <v>145</v>
      </c>
      <c r="E1332" t="s">
        <v>237</v>
      </c>
      <c r="F1332" t="s">
        <v>3039</v>
      </c>
      <c r="G1332" t="str">
        <f>"00531465"</f>
        <v>00531465</v>
      </c>
      <c r="H1332">
        <v>38.92</v>
      </c>
      <c r="I1332">
        <v>0</v>
      </c>
      <c r="M1332">
        <v>0</v>
      </c>
      <c r="N1332">
        <v>4</v>
      </c>
      <c r="O1332">
        <v>2</v>
      </c>
      <c r="P1332">
        <v>44.92</v>
      </c>
      <c r="Q1332">
        <v>24</v>
      </c>
      <c r="R1332">
        <v>24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24</v>
      </c>
      <c r="Z1332">
        <v>3</v>
      </c>
      <c r="AA1332">
        <v>0</v>
      </c>
      <c r="AC1332">
        <v>71.92</v>
      </c>
    </row>
    <row r="1333" spans="1:29">
      <c r="A1333">
        <v>1326</v>
      </c>
      <c r="B1333">
        <v>4597</v>
      </c>
      <c r="C1333" t="s">
        <v>3040</v>
      </c>
      <c r="D1333" t="s">
        <v>27</v>
      </c>
      <c r="E1333" t="s">
        <v>322</v>
      </c>
      <c r="F1333" t="s">
        <v>3041</v>
      </c>
      <c r="G1333" t="str">
        <f>"00442127"</f>
        <v>00442127</v>
      </c>
      <c r="H1333">
        <v>32.799999999999997</v>
      </c>
      <c r="I1333">
        <v>0</v>
      </c>
      <c r="J1333">
        <v>8</v>
      </c>
      <c r="M1333">
        <v>8</v>
      </c>
      <c r="N1333">
        <v>4</v>
      </c>
      <c r="O1333">
        <v>2</v>
      </c>
      <c r="P1333">
        <v>46.8</v>
      </c>
      <c r="Q1333">
        <v>19</v>
      </c>
      <c r="R1333">
        <v>19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19</v>
      </c>
      <c r="Z1333">
        <v>6</v>
      </c>
      <c r="AA1333">
        <v>0</v>
      </c>
      <c r="AC1333">
        <v>71.8</v>
      </c>
    </row>
    <row r="1334" spans="1:29">
      <c r="A1334">
        <v>1327</v>
      </c>
      <c r="B1334">
        <v>1144</v>
      </c>
      <c r="C1334" t="s">
        <v>3042</v>
      </c>
      <c r="D1334" t="s">
        <v>164</v>
      </c>
      <c r="E1334" t="s">
        <v>18</v>
      </c>
      <c r="F1334" t="s">
        <v>3043</v>
      </c>
      <c r="G1334" t="str">
        <f>"00528079"</f>
        <v>00528079</v>
      </c>
      <c r="H1334">
        <v>28.8</v>
      </c>
      <c r="I1334">
        <v>10</v>
      </c>
      <c r="M1334">
        <v>0</v>
      </c>
      <c r="N1334">
        <v>4</v>
      </c>
      <c r="O1334">
        <v>0</v>
      </c>
      <c r="P1334">
        <v>42.8</v>
      </c>
      <c r="Q1334">
        <v>23</v>
      </c>
      <c r="R1334">
        <v>23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23</v>
      </c>
      <c r="Z1334">
        <v>6</v>
      </c>
      <c r="AA1334">
        <v>0</v>
      </c>
      <c r="AC1334">
        <v>71.8</v>
      </c>
    </row>
    <row r="1335" spans="1:29">
      <c r="A1335">
        <v>1328</v>
      </c>
      <c r="B1335">
        <v>468</v>
      </c>
      <c r="C1335" t="s">
        <v>3044</v>
      </c>
      <c r="D1335" t="s">
        <v>39</v>
      </c>
      <c r="E1335" t="s">
        <v>79</v>
      </c>
      <c r="F1335" t="s">
        <v>3045</v>
      </c>
      <c r="G1335" t="str">
        <f>"00384109"</f>
        <v>00384109</v>
      </c>
      <c r="H1335">
        <v>28.8</v>
      </c>
      <c r="I1335">
        <v>0</v>
      </c>
      <c r="M1335">
        <v>0</v>
      </c>
      <c r="N1335">
        <v>4</v>
      </c>
      <c r="O1335">
        <v>0</v>
      </c>
      <c r="P1335">
        <v>32.799999999999997</v>
      </c>
      <c r="Q1335">
        <v>33</v>
      </c>
      <c r="R1335">
        <v>33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33</v>
      </c>
      <c r="Z1335">
        <v>6</v>
      </c>
      <c r="AA1335">
        <v>0</v>
      </c>
      <c r="AC1335">
        <v>71.8</v>
      </c>
    </row>
    <row r="1336" spans="1:29">
      <c r="A1336">
        <v>1329</v>
      </c>
      <c r="B1336">
        <v>4240</v>
      </c>
      <c r="C1336" t="s">
        <v>3046</v>
      </c>
      <c r="D1336" t="s">
        <v>86</v>
      </c>
      <c r="E1336" t="s">
        <v>15</v>
      </c>
      <c r="F1336" t="s">
        <v>3047</v>
      </c>
      <c r="G1336" t="str">
        <f>"00861189"</f>
        <v>00861189</v>
      </c>
      <c r="H1336">
        <v>64.8</v>
      </c>
      <c r="I1336">
        <v>0</v>
      </c>
      <c r="M1336">
        <v>0</v>
      </c>
      <c r="N1336">
        <v>4</v>
      </c>
      <c r="O1336">
        <v>0</v>
      </c>
      <c r="P1336">
        <v>68.8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3</v>
      </c>
      <c r="AA1336">
        <v>0</v>
      </c>
      <c r="AC1336">
        <v>71.8</v>
      </c>
    </row>
    <row r="1337" spans="1:29">
      <c r="A1337">
        <v>1330</v>
      </c>
      <c r="B1337">
        <v>1215</v>
      </c>
      <c r="C1337" t="s">
        <v>2872</v>
      </c>
      <c r="D1337" t="s">
        <v>276</v>
      </c>
      <c r="E1337" t="s">
        <v>187</v>
      </c>
      <c r="F1337" t="s">
        <v>3048</v>
      </c>
      <c r="G1337" t="str">
        <f>"00503949"</f>
        <v>00503949</v>
      </c>
      <c r="H1337">
        <v>12.8</v>
      </c>
      <c r="I1337">
        <v>0</v>
      </c>
      <c r="M1337">
        <v>0</v>
      </c>
      <c r="N1337">
        <v>0</v>
      </c>
      <c r="O1337">
        <v>0</v>
      </c>
      <c r="P1337">
        <v>12.8</v>
      </c>
      <c r="Q1337">
        <v>59</v>
      </c>
      <c r="R1337">
        <v>59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59</v>
      </c>
      <c r="Z1337">
        <v>0</v>
      </c>
      <c r="AA1337">
        <v>0</v>
      </c>
      <c r="AC1337">
        <v>71.8</v>
      </c>
    </row>
    <row r="1338" spans="1:29">
      <c r="A1338">
        <v>1331</v>
      </c>
      <c r="B1338">
        <v>4869</v>
      </c>
      <c r="C1338" t="s">
        <v>3049</v>
      </c>
      <c r="D1338" t="s">
        <v>1041</v>
      </c>
      <c r="E1338" t="s">
        <v>79</v>
      </c>
      <c r="F1338" t="s">
        <v>3050</v>
      </c>
      <c r="G1338" t="str">
        <f>"00397221"</f>
        <v>00397221</v>
      </c>
      <c r="H1338">
        <v>39.28</v>
      </c>
      <c r="I1338">
        <v>0</v>
      </c>
      <c r="M1338">
        <v>0</v>
      </c>
      <c r="N1338">
        <v>4</v>
      </c>
      <c r="O1338">
        <v>2</v>
      </c>
      <c r="P1338">
        <v>45.28</v>
      </c>
      <c r="Q1338">
        <v>13</v>
      </c>
      <c r="R1338">
        <v>13</v>
      </c>
      <c r="S1338">
        <v>0</v>
      </c>
      <c r="T1338">
        <v>0</v>
      </c>
      <c r="U1338">
        <v>3</v>
      </c>
      <c r="V1338">
        <v>4.5</v>
      </c>
      <c r="W1338">
        <v>0</v>
      </c>
      <c r="X1338">
        <v>0</v>
      </c>
      <c r="Y1338">
        <v>17.5</v>
      </c>
      <c r="Z1338">
        <v>9</v>
      </c>
      <c r="AA1338">
        <v>0</v>
      </c>
      <c r="AC1338">
        <v>71.78</v>
      </c>
    </row>
    <row r="1339" spans="1:29">
      <c r="A1339">
        <v>1332</v>
      </c>
      <c r="B1339">
        <v>1523</v>
      </c>
      <c r="C1339" t="s">
        <v>3051</v>
      </c>
      <c r="D1339" t="s">
        <v>86</v>
      </c>
      <c r="E1339" t="s">
        <v>647</v>
      </c>
      <c r="F1339" t="s">
        <v>3052</v>
      </c>
      <c r="G1339" t="str">
        <f>"00521151"</f>
        <v>00521151</v>
      </c>
      <c r="H1339">
        <v>37.76</v>
      </c>
      <c r="I1339">
        <v>10</v>
      </c>
      <c r="M1339">
        <v>0</v>
      </c>
      <c r="N1339">
        <v>0</v>
      </c>
      <c r="O1339">
        <v>0</v>
      </c>
      <c r="P1339">
        <v>47.76</v>
      </c>
      <c r="Q1339">
        <v>18</v>
      </c>
      <c r="R1339">
        <v>18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18</v>
      </c>
      <c r="Z1339">
        <v>6</v>
      </c>
      <c r="AA1339">
        <v>0</v>
      </c>
      <c r="AC1339">
        <v>71.760000000000005</v>
      </c>
    </row>
    <row r="1340" spans="1:29">
      <c r="A1340">
        <v>1333</v>
      </c>
      <c r="B1340">
        <v>3912</v>
      </c>
      <c r="C1340" t="s">
        <v>415</v>
      </c>
      <c r="D1340" t="s">
        <v>95</v>
      </c>
      <c r="E1340" t="s">
        <v>60</v>
      </c>
      <c r="F1340" t="s">
        <v>3053</v>
      </c>
      <c r="G1340" t="str">
        <f>"00480407"</f>
        <v>00480407</v>
      </c>
      <c r="H1340">
        <v>21.72</v>
      </c>
      <c r="I1340">
        <v>0</v>
      </c>
      <c r="M1340">
        <v>0</v>
      </c>
      <c r="N1340">
        <v>4</v>
      </c>
      <c r="O1340">
        <v>2</v>
      </c>
      <c r="P1340">
        <v>27.72</v>
      </c>
      <c r="Q1340">
        <v>35</v>
      </c>
      <c r="R1340">
        <v>35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35</v>
      </c>
      <c r="Z1340">
        <v>9</v>
      </c>
      <c r="AA1340">
        <v>0</v>
      </c>
      <c r="AC1340">
        <v>71.72</v>
      </c>
    </row>
    <row r="1341" spans="1:29">
      <c r="A1341">
        <v>1334</v>
      </c>
      <c r="B1341">
        <v>2987</v>
      </c>
      <c r="C1341" t="s">
        <v>3054</v>
      </c>
      <c r="D1341" t="s">
        <v>258</v>
      </c>
      <c r="E1341" t="s">
        <v>15</v>
      </c>
      <c r="F1341" t="s">
        <v>3055</v>
      </c>
      <c r="G1341" t="str">
        <f>"00483930"</f>
        <v>00483930</v>
      </c>
      <c r="H1341">
        <v>21.6</v>
      </c>
      <c r="I1341">
        <v>10</v>
      </c>
      <c r="M1341">
        <v>0</v>
      </c>
      <c r="N1341">
        <v>4</v>
      </c>
      <c r="O1341">
        <v>0</v>
      </c>
      <c r="P1341">
        <v>35.6</v>
      </c>
      <c r="Q1341">
        <v>33</v>
      </c>
      <c r="R1341">
        <v>33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33</v>
      </c>
      <c r="Z1341">
        <v>3</v>
      </c>
      <c r="AA1341">
        <v>0</v>
      </c>
      <c r="AC1341">
        <v>71.599999999999994</v>
      </c>
    </row>
    <row r="1342" spans="1:29">
      <c r="A1342">
        <v>1335</v>
      </c>
      <c r="B1342">
        <v>2960</v>
      </c>
      <c r="C1342" t="s">
        <v>3056</v>
      </c>
      <c r="D1342" t="s">
        <v>544</v>
      </c>
      <c r="E1342" t="s">
        <v>840</v>
      </c>
      <c r="F1342" t="s">
        <v>3057</v>
      </c>
      <c r="G1342" t="str">
        <f>"00508672"</f>
        <v>00508672</v>
      </c>
      <c r="H1342">
        <v>25.6</v>
      </c>
      <c r="I1342">
        <v>0</v>
      </c>
      <c r="M1342">
        <v>0</v>
      </c>
      <c r="N1342">
        <v>0</v>
      </c>
      <c r="O1342">
        <v>0</v>
      </c>
      <c r="P1342">
        <v>25.6</v>
      </c>
      <c r="Q1342">
        <v>43</v>
      </c>
      <c r="R1342">
        <v>43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43</v>
      </c>
      <c r="Z1342">
        <v>3</v>
      </c>
      <c r="AA1342">
        <v>0</v>
      </c>
      <c r="AC1342">
        <v>71.599999999999994</v>
      </c>
    </row>
    <row r="1343" spans="1:29">
      <c r="A1343">
        <v>1336</v>
      </c>
      <c r="B1343">
        <v>3279</v>
      </c>
      <c r="C1343" t="s">
        <v>3060</v>
      </c>
      <c r="D1343" t="s">
        <v>2014</v>
      </c>
      <c r="E1343" t="s">
        <v>28</v>
      </c>
      <c r="F1343" t="s">
        <v>3061</v>
      </c>
      <c r="G1343" t="str">
        <f>"00620964"</f>
        <v>00620964</v>
      </c>
      <c r="H1343">
        <v>57.6</v>
      </c>
      <c r="I1343">
        <v>0</v>
      </c>
      <c r="L1343">
        <v>8</v>
      </c>
      <c r="M1343">
        <v>8</v>
      </c>
      <c r="N1343">
        <v>4</v>
      </c>
      <c r="O1343">
        <v>2</v>
      </c>
      <c r="P1343">
        <v>71.599999999999994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0</v>
      </c>
      <c r="AC1343">
        <v>71.599999999999994</v>
      </c>
    </row>
    <row r="1344" spans="1:29">
      <c r="A1344">
        <v>1337</v>
      </c>
      <c r="B1344">
        <v>1155</v>
      </c>
      <c r="C1344" t="s">
        <v>1168</v>
      </c>
      <c r="D1344" t="s">
        <v>3062</v>
      </c>
      <c r="E1344" t="s">
        <v>967</v>
      </c>
      <c r="F1344" t="s">
        <v>3063</v>
      </c>
      <c r="G1344" t="str">
        <f>"00857019"</f>
        <v>00857019</v>
      </c>
      <c r="H1344">
        <v>57.6</v>
      </c>
      <c r="I1344">
        <v>10</v>
      </c>
      <c r="L1344">
        <v>4</v>
      </c>
      <c r="M1344">
        <v>4</v>
      </c>
      <c r="N1344">
        <v>0</v>
      </c>
      <c r="O1344">
        <v>0</v>
      </c>
      <c r="P1344">
        <v>71.599999999999994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C1344">
        <v>71.599999999999994</v>
      </c>
    </row>
    <row r="1345" spans="1:29">
      <c r="A1345">
        <v>1338</v>
      </c>
      <c r="B1345">
        <v>2774</v>
      </c>
      <c r="C1345" t="s">
        <v>178</v>
      </c>
      <c r="D1345" t="s">
        <v>20</v>
      </c>
      <c r="E1345" t="s">
        <v>18</v>
      </c>
      <c r="F1345" t="s">
        <v>3076</v>
      </c>
      <c r="G1345" t="str">
        <f>"00860008"</f>
        <v>00860008</v>
      </c>
      <c r="H1345">
        <v>57.6</v>
      </c>
      <c r="I1345">
        <v>0</v>
      </c>
      <c r="J1345">
        <v>8</v>
      </c>
      <c r="M1345">
        <v>8</v>
      </c>
      <c r="N1345">
        <v>4</v>
      </c>
      <c r="O1345">
        <v>2</v>
      </c>
      <c r="P1345">
        <v>71.599999999999994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C1345">
        <v>71.599999999999994</v>
      </c>
    </row>
    <row r="1346" spans="1:29">
      <c r="A1346">
        <v>1339</v>
      </c>
      <c r="B1346">
        <v>1660</v>
      </c>
      <c r="C1346" t="s">
        <v>3069</v>
      </c>
      <c r="D1346" t="s">
        <v>98</v>
      </c>
      <c r="E1346" t="s">
        <v>134</v>
      </c>
      <c r="F1346" t="s">
        <v>3070</v>
      </c>
      <c r="G1346" t="str">
        <f>"201511036426"</f>
        <v>201511036426</v>
      </c>
      <c r="H1346">
        <v>57.6</v>
      </c>
      <c r="I1346">
        <v>0</v>
      </c>
      <c r="J1346">
        <v>8</v>
      </c>
      <c r="M1346">
        <v>8</v>
      </c>
      <c r="N1346">
        <v>4</v>
      </c>
      <c r="O1346">
        <v>2</v>
      </c>
      <c r="P1346">
        <v>71.599999999999994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C1346">
        <v>71.599999999999994</v>
      </c>
    </row>
    <row r="1347" spans="1:29">
      <c r="A1347">
        <v>1340</v>
      </c>
      <c r="B1347">
        <v>2668</v>
      </c>
      <c r="C1347" t="s">
        <v>3064</v>
      </c>
      <c r="D1347" t="s">
        <v>276</v>
      </c>
      <c r="E1347" t="s">
        <v>168</v>
      </c>
      <c r="F1347" t="s">
        <v>3065</v>
      </c>
      <c r="G1347" t="str">
        <f>"00559762"</f>
        <v>00559762</v>
      </c>
      <c r="H1347">
        <v>57.6</v>
      </c>
      <c r="I1347">
        <v>10</v>
      </c>
      <c r="M1347">
        <v>0</v>
      </c>
      <c r="N1347">
        <v>4</v>
      </c>
      <c r="O1347">
        <v>0</v>
      </c>
      <c r="P1347">
        <v>71.599999999999994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0</v>
      </c>
      <c r="AC1347">
        <v>71.599999999999994</v>
      </c>
    </row>
    <row r="1348" spans="1:29">
      <c r="A1348">
        <v>1341</v>
      </c>
      <c r="B1348">
        <v>3485</v>
      </c>
      <c r="C1348" t="s">
        <v>311</v>
      </c>
      <c r="D1348" t="s">
        <v>52</v>
      </c>
      <c r="E1348" t="s">
        <v>28</v>
      </c>
      <c r="F1348" t="s">
        <v>3066</v>
      </c>
      <c r="G1348" t="str">
        <f>"00543061"</f>
        <v>00543061</v>
      </c>
      <c r="H1348">
        <v>57.6</v>
      </c>
      <c r="I1348">
        <v>0</v>
      </c>
      <c r="J1348">
        <v>8</v>
      </c>
      <c r="M1348">
        <v>8</v>
      </c>
      <c r="N1348">
        <v>4</v>
      </c>
      <c r="O1348">
        <v>2</v>
      </c>
      <c r="P1348">
        <v>71.599999999999994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C1348">
        <v>71.599999999999994</v>
      </c>
    </row>
    <row r="1349" spans="1:29">
      <c r="A1349">
        <v>1342</v>
      </c>
      <c r="B1349">
        <v>4081</v>
      </c>
      <c r="C1349" t="s">
        <v>3067</v>
      </c>
      <c r="D1349" t="s">
        <v>820</v>
      </c>
      <c r="E1349" t="s">
        <v>79</v>
      </c>
      <c r="F1349" t="s">
        <v>3068</v>
      </c>
      <c r="G1349" t="str">
        <f>"00118891"</f>
        <v>00118891</v>
      </c>
      <c r="H1349">
        <v>57.6</v>
      </c>
      <c r="I1349">
        <v>0</v>
      </c>
      <c r="J1349">
        <v>8</v>
      </c>
      <c r="M1349">
        <v>8</v>
      </c>
      <c r="N1349">
        <v>4</v>
      </c>
      <c r="O1349">
        <v>2</v>
      </c>
      <c r="P1349">
        <v>71.599999999999994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>
        <v>0</v>
      </c>
      <c r="AA1349">
        <v>0</v>
      </c>
      <c r="AC1349">
        <v>71.599999999999994</v>
      </c>
    </row>
    <row r="1350" spans="1:29">
      <c r="A1350">
        <v>1343</v>
      </c>
      <c r="B1350">
        <v>2881</v>
      </c>
      <c r="C1350" t="s">
        <v>3073</v>
      </c>
      <c r="D1350" t="s">
        <v>3074</v>
      </c>
      <c r="E1350" t="s">
        <v>66</v>
      </c>
      <c r="F1350" t="s">
        <v>3075</v>
      </c>
      <c r="G1350" t="str">
        <f>"00524701"</f>
        <v>00524701</v>
      </c>
      <c r="H1350">
        <v>57.6</v>
      </c>
      <c r="I1350">
        <v>0</v>
      </c>
      <c r="J1350">
        <v>8</v>
      </c>
      <c r="M1350">
        <v>8</v>
      </c>
      <c r="N1350">
        <v>4</v>
      </c>
      <c r="O1350">
        <v>2</v>
      </c>
      <c r="P1350">
        <v>71.599999999999994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C1350">
        <v>71.599999999999994</v>
      </c>
    </row>
    <row r="1351" spans="1:29">
      <c r="A1351">
        <v>1344</v>
      </c>
      <c r="B1351">
        <v>1544</v>
      </c>
      <c r="C1351" t="s">
        <v>3058</v>
      </c>
      <c r="D1351" t="s">
        <v>2802</v>
      </c>
      <c r="E1351" t="s">
        <v>36</v>
      </c>
      <c r="F1351" t="s">
        <v>3059</v>
      </c>
      <c r="G1351" t="str">
        <f>"00784281"</f>
        <v>00784281</v>
      </c>
      <c r="H1351">
        <v>57.6</v>
      </c>
      <c r="I1351">
        <v>0</v>
      </c>
      <c r="J1351">
        <v>8</v>
      </c>
      <c r="M1351">
        <v>8</v>
      </c>
      <c r="N1351">
        <v>4</v>
      </c>
      <c r="O1351">
        <v>2</v>
      </c>
      <c r="P1351">
        <v>71.599999999999994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0</v>
      </c>
      <c r="AC1351">
        <v>71.599999999999994</v>
      </c>
    </row>
    <row r="1352" spans="1:29">
      <c r="A1352">
        <v>1345</v>
      </c>
      <c r="B1352">
        <v>2525</v>
      </c>
      <c r="C1352" t="s">
        <v>3071</v>
      </c>
      <c r="D1352" t="s">
        <v>1816</v>
      </c>
      <c r="E1352" t="s">
        <v>460</v>
      </c>
      <c r="F1352" t="s">
        <v>3072</v>
      </c>
      <c r="G1352" t="str">
        <f>"00592526"</f>
        <v>00592526</v>
      </c>
      <c r="H1352">
        <v>57.6</v>
      </c>
      <c r="I1352">
        <v>0</v>
      </c>
      <c r="J1352">
        <v>8</v>
      </c>
      <c r="M1352">
        <v>8</v>
      </c>
      <c r="N1352">
        <v>4</v>
      </c>
      <c r="O1352">
        <v>2</v>
      </c>
      <c r="P1352">
        <v>71.599999999999994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0</v>
      </c>
      <c r="AC1352">
        <v>71.599999999999994</v>
      </c>
    </row>
    <row r="1353" spans="1:29">
      <c r="A1353">
        <v>1346</v>
      </c>
      <c r="B1353">
        <v>1912</v>
      </c>
      <c r="C1353" t="s">
        <v>3077</v>
      </c>
      <c r="D1353" t="s">
        <v>962</v>
      </c>
      <c r="E1353" t="s">
        <v>15</v>
      </c>
      <c r="F1353" t="s">
        <v>3078</v>
      </c>
      <c r="G1353" t="str">
        <f>"00151990"</f>
        <v>00151990</v>
      </c>
      <c r="H1353">
        <v>21.6</v>
      </c>
      <c r="I1353">
        <v>0</v>
      </c>
      <c r="M1353">
        <v>0</v>
      </c>
      <c r="N1353">
        <v>4</v>
      </c>
      <c r="O1353">
        <v>2</v>
      </c>
      <c r="P1353">
        <v>27.6</v>
      </c>
      <c r="Q1353">
        <v>44</v>
      </c>
      <c r="R1353">
        <v>44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44</v>
      </c>
      <c r="Z1353">
        <v>0</v>
      </c>
      <c r="AA1353">
        <v>0</v>
      </c>
      <c r="AC1353">
        <v>71.599999999999994</v>
      </c>
    </row>
    <row r="1354" spans="1:29">
      <c r="A1354">
        <v>1347</v>
      </c>
      <c r="B1354">
        <v>2390</v>
      </c>
      <c r="C1354" t="s">
        <v>3079</v>
      </c>
      <c r="D1354" t="s">
        <v>24</v>
      </c>
      <c r="E1354" t="s">
        <v>79</v>
      </c>
      <c r="F1354" t="s">
        <v>3080</v>
      </c>
      <c r="G1354" t="str">
        <f>"00023429"</f>
        <v>00023429</v>
      </c>
      <c r="H1354">
        <v>32.56</v>
      </c>
      <c r="I1354">
        <v>0</v>
      </c>
      <c r="M1354">
        <v>0</v>
      </c>
      <c r="N1354">
        <v>4</v>
      </c>
      <c r="O1354">
        <v>0</v>
      </c>
      <c r="P1354">
        <v>36.56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3</v>
      </c>
      <c r="AA1354">
        <v>32</v>
      </c>
      <c r="AC1354">
        <v>71.56</v>
      </c>
    </row>
    <row r="1355" spans="1:29">
      <c r="A1355">
        <v>1348</v>
      </c>
      <c r="B1355">
        <v>1575</v>
      </c>
      <c r="C1355" t="s">
        <v>3081</v>
      </c>
      <c r="D1355" t="s">
        <v>3082</v>
      </c>
      <c r="E1355" t="s">
        <v>28</v>
      </c>
      <c r="F1355" t="s">
        <v>3083</v>
      </c>
      <c r="G1355" t="str">
        <f>"00530672"</f>
        <v>00530672</v>
      </c>
      <c r="H1355">
        <v>14.56</v>
      </c>
      <c r="I1355">
        <v>10</v>
      </c>
      <c r="M1355">
        <v>0</v>
      </c>
      <c r="N1355">
        <v>0</v>
      </c>
      <c r="O1355">
        <v>0</v>
      </c>
      <c r="P1355">
        <v>24.56</v>
      </c>
      <c r="Q1355">
        <v>47</v>
      </c>
      <c r="R1355">
        <v>47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47</v>
      </c>
      <c r="Z1355">
        <v>0</v>
      </c>
      <c r="AA1355">
        <v>0</v>
      </c>
      <c r="AC1355">
        <v>71.56</v>
      </c>
    </row>
    <row r="1356" spans="1:29">
      <c r="A1356">
        <v>1349</v>
      </c>
      <c r="B1356">
        <v>69</v>
      </c>
      <c r="C1356" t="s">
        <v>3084</v>
      </c>
      <c r="D1356" t="s">
        <v>170</v>
      </c>
      <c r="E1356" t="s">
        <v>436</v>
      </c>
      <c r="F1356" t="s">
        <v>3085</v>
      </c>
      <c r="G1356" t="str">
        <f>"00479387"</f>
        <v>00479387</v>
      </c>
      <c r="H1356">
        <v>14.4</v>
      </c>
      <c r="I1356">
        <v>0</v>
      </c>
      <c r="J1356">
        <v>8</v>
      </c>
      <c r="M1356">
        <v>8</v>
      </c>
      <c r="N1356">
        <v>4</v>
      </c>
      <c r="O1356">
        <v>2</v>
      </c>
      <c r="P1356">
        <v>28.4</v>
      </c>
      <c r="Q1356">
        <v>34</v>
      </c>
      <c r="R1356">
        <v>34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34</v>
      </c>
      <c r="Z1356">
        <v>9</v>
      </c>
      <c r="AA1356">
        <v>0</v>
      </c>
      <c r="AC1356">
        <v>71.400000000000006</v>
      </c>
    </row>
    <row r="1357" spans="1:29">
      <c r="A1357">
        <v>1350</v>
      </c>
      <c r="B1357">
        <v>3395</v>
      </c>
      <c r="C1357" t="s">
        <v>3086</v>
      </c>
      <c r="D1357" t="s">
        <v>332</v>
      </c>
      <c r="E1357" t="s">
        <v>18</v>
      </c>
      <c r="F1357" t="s">
        <v>3087</v>
      </c>
      <c r="G1357" t="str">
        <f>"00150422"</f>
        <v>00150422</v>
      </c>
      <c r="H1357">
        <v>14.4</v>
      </c>
      <c r="I1357">
        <v>0</v>
      </c>
      <c r="M1357">
        <v>0</v>
      </c>
      <c r="N1357">
        <v>0</v>
      </c>
      <c r="O1357">
        <v>2</v>
      </c>
      <c r="P1357">
        <v>16.399999999999999</v>
      </c>
      <c r="Q1357">
        <v>49</v>
      </c>
      <c r="R1357">
        <v>49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49</v>
      </c>
      <c r="Z1357">
        <v>6</v>
      </c>
      <c r="AA1357">
        <v>0</v>
      </c>
      <c r="AC1357">
        <v>71.400000000000006</v>
      </c>
    </row>
    <row r="1358" spans="1:29">
      <c r="A1358">
        <v>1351</v>
      </c>
      <c r="B1358">
        <v>278</v>
      </c>
      <c r="C1358" t="s">
        <v>3088</v>
      </c>
      <c r="D1358" t="s">
        <v>27</v>
      </c>
      <c r="E1358" t="s">
        <v>36</v>
      </c>
      <c r="F1358" t="s">
        <v>3089</v>
      </c>
      <c r="G1358" t="str">
        <f>"00497738"</f>
        <v>00497738</v>
      </c>
      <c r="H1358">
        <v>30.4</v>
      </c>
      <c r="I1358">
        <v>0</v>
      </c>
      <c r="J1358">
        <v>8</v>
      </c>
      <c r="M1358">
        <v>8</v>
      </c>
      <c r="N1358">
        <v>4</v>
      </c>
      <c r="O1358">
        <v>2</v>
      </c>
      <c r="P1358">
        <v>44.4</v>
      </c>
      <c r="Q1358">
        <v>27</v>
      </c>
      <c r="R1358">
        <v>27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27</v>
      </c>
      <c r="Z1358">
        <v>0</v>
      </c>
      <c r="AA1358">
        <v>0</v>
      </c>
      <c r="AC1358">
        <v>71.400000000000006</v>
      </c>
    </row>
    <row r="1359" spans="1:29">
      <c r="A1359">
        <v>1352</v>
      </c>
      <c r="B1359">
        <v>679</v>
      </c>
      <c r="C1359" t="s">
        <v>3090</v>
      </c>
      <c r="D1359" t="s">
        <v>216</v>
      </c>
      <c r="E1359" t="s">
        <v>134</v>
      </c>
      <c r="F1359" t="s">
        <v>3091</v>
      </c>
      <c r="G1359" t="str">
        <f>"00498424"</f>
        <v>00498424</v>
      </c>
      <c r="H1359">
        <v>14.4</v>
      </c>
      <c r="I1359">
        <v>0</v>
      </c>
      <c r="J1359">
        <v>8</v>
      </c>
      <c r="M1359">
        <v>8</v>
      </c>
      <c r="N1359">
        <v>4</v>
      </c>
      <c r="O1359">
        <v>2</v>
      </c>
      <c r="P1359">
        <v>28.4</v>
      </c>
      <c r="Q1359">
        <v>43</v>
      </c>
      <c r="R1359">
        <v>43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43</v>
      </c>
      <c r="Z1359">
        <v>0</v>
      </c>
      <c r="AA1359">
        <v>0</v>
      </c>
      <c r="AC1359">
        <v>71.400000000000006</v>
      </c>
    </row>
    <row r="1360" spans="1:29">
      <c r="A1360">
        <v>1353</v>
      </c>
      <c r="B1360">
        <v>293</v>
      </c>
      <c r="C1360" t="s">
        <v>3092</v>
      </c>
      <c r="D1360" t="s">
        <v>108</v>
      </c>
      <c r="E1360" t="s">
        <v>889</v>
      </c>
      <c r="F1360" t="s">
        <v>3093</v>
      </c>
      <c r="G1360" t="str">
        <f>"201412003016"</f>
        <v>201412003016</v>
      </c>
      <c r="H1360">
        <v>29.32</v>
      </c>
      <c r="I1360">
        <v>10</v>
      </c>
      <c r="J1360">
        <v>8</v>
      </c>
      <c r="M1360">
        <v>8</v>
      </c>
      <c r="N1360">
        <v>4</v>
      </c>
      <c r="O1360">
        <v>2</v>
      </c>
      <c r="P1360">
        <v>53.32</v>
      </c>
      <c r="Q1360">
        <v>18</v>
      </c>
      <c r="R1360">
        <v>18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18</v>
      </c>
      <c r="Z1360">
        <v>0</v>
      </c>
      <c r="AA1360">
        <v>0</v>
      </c>
      <c r="AC1360">
        <v>71.319999999999993</v>
      </c>
    </row>
    <row r="1361" spans="1:29">
      <c r="A1361">
        <v>1354</v>
      </c>
      <c r="B1361">
        <v>3494</v>
      </c>
      <c r="C1361" t="s">
        <v>3094</v>
      </c>
      <c r="D1361" t="s">
        <v>20</v>
      </c>
      <c r="E1361" t="s">
        <v>15</v>
      </c>
      <c r="F1361" t="s">
        <v>3095</v>
      </c>
      <c r="G1361" t="str">
        <f>"00229733"</f>
        <v>00229733</v>
      </c>
      <c r="H1361">
        <v>34.24</v>
      </c>
      <c r="I1361">
        <v>10</v>
      </c>
      <c r="M1361">
        <v>0</v>
      </c>
      <c r="N1361">
        <v>4</v>
      </c>
      <c r="O1361">
        <v>2</v>
      </c>
      <c r="P1361">
        <v>50.24</v>
      </c>
      <c r="Q1361">
        <v>18</v>
      </c>
      <c r="R1361">
        <v>18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18</v>
      </c>
      <c r="Z1361">
        <v>3</v>
      </c>
      <c r="AA1361">
        <v>0</v>
      </c>
      <c r="AC1361">
        <v>71.239999999999995</v>
      </c>
    </row>
    <row r="1362" spans="1:29">
      <c r="A1362">
        <v>1355</v>
      </c>
      <c r="B1362">
        <v>3807</v>
      </c>
      <c r="C1362" t="s">
        <v>3096</v>
      </c>
      <c r="D1362" t="s">
        <v>27</v>
      </c>
      <c r="E1362" t="s">
        <v>18</v>
      </c>
      <c r="F1362" t="s">
        <v>3097</v>
      </c>
      <c r="G1362" t="str">
        <f>"00313216"</f>
        <v>00313216</v>
      </c>
      <c r="H1362">
        <v>19.2</v>
      </c>
      <c r="I1362">
        <v>0</v>
      </c>
      <c r="M1362">
        <v>0</v>
      </c>
      <c r="N1362">
        <v>4</v>
      </c>
      <c r="O1362">
        <v>0</v>
      </c>
      <c r="P1362">
        <v>23.2</v>
      </c>
      <c r="Q1362">
        <v>36</v>
      </c>
      <c r="R1362">
        <v>36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36</v>
      </c>
      <c r="Z1362">
        <v>12</v>
      </c>
      <c r="AA1362">
        <v>0</v>
      </c>
      <c r="AC1362">
        <v>71.2</v>
      </c>
    </row>
    <row r="1363" spans="1:29">
      <c r="A1363">
        <v>1356</v>
      </c>
      <c r="B1363">
        <v>3386</v>
      </c>
      <c r="C1363" t="s">
        <v>3098</v>
      </c>
      <c r="D1363" t="s">
        <v>39</v>
      </c>
      <c r="E1363" t="s">
        <v>515</v>
      </c>
      <c r="F1363" t="s">
        <v>3099</v>
      </c>
      <c r="G1363" t="str">
        <f>"00516512"</f>
        <v>00516512</v>
      </c>
      <c r="H1363">
        <v>26.2</v>
      </c>
      <c r="I1363">
        <v>0</v>
      </c>
      <c r="M1363">
        <v>0</v>
      </c>
      <c r="N1363">
        <v>4</v>
      </c>
      <c r="O1363">
        <v>2</v>
      </c>
      <c r="P1363">
        <v>32.200000000000003</v>
      </c>
      <c r="Q1363">
        <v>30</v>
      </c>
      <c r="R1363">
        <v>30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30</v>
      </c>
      <c r="Z1363">
        <v>9</v>
      </c>
      <c r="AA1363">
        <v>0</v>
      </c>
      <c r="AC1363">
        <v>71.2</v>
      </c>
    </row>
    <row r="1364" spans="1:29">
      <c r="A1364">
        <v>1357</v>
      </c>
      <c r="B1364">
        <v>2052</v>
      </c>
      <c r="C1364" t="s">
        <v>3100</v>
      </c>
      <c r="D1364" t="s">
        <v>3101</v>
      </c>
      <c r="E1364" t="s">
        <v>156</v>
      </c>
      <c r="F1364" t="s">
        <v>3102</v>
      </c>
      <c r="G1364" t="str">
        <f>"00533094"</f>
        <v>00533094</v>
      </c>
      <c r="H1364">
        <v>43.2</v>
      </c>
      <c r="I1364">
        <v>10</v>
      </c>
      <c r="L1364">
        <v>4</v>
      </c>
      <c r="M1364">
        <v>4</v>
      </c>
      <c r="N1364">
        <v>4</v>
      </c>
      <c r="O1364">
        <v>2</v>
      </c>
      <c r="P1364">
        <v>63.2</v>
      </c>
      <c r="Q1364">
        <v>8</v>
      </c>
      <c r="R1364">
        <v>8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8</v>
      </c>
      <c r="Z1364">
        <v>0</v>
      </c>
      <c r="AA1364">
        <v>0</v>
      </c>
      <c r="AC1364">
        <v>71.2</v>
      </c>
    </row>
    <row r="1365" spans="1:29">
      <c r="A1365">
        <v>1358</v>
      </c>
      <c r="B1365">
        <v>3564</v>
      </c>
      <c r="C1365" t="s">
        <v>989</v>
      </c>
      <c r="D1365" t="s">
        <v>557</v>
      </c>
      <c r="E1365" t="s">
        <v>3108</v>
      </c>
      <c r="F1365" t="s">
        <v>3109</v>
      </c>
      <c r="G1365" t="str">
        <f>"00531716"</f>
        <v>00531716</v>
      </c>
      <c r="H1365">
        <v>43.2</v>
      </c>
      <c r="I1365">
        <v>0</v>
      </c>
      <c r="L1365">
        <v>4</v>
      </c>
      <c r="M1365">
        <v>4</v>
      </c>
      <c r="N1365">
        <v>4</v>
      </c>
      <c r="O1365">
        <v>2</v>
      </c>
      <c r="P1365">
        <v>53.2</v>
      </c>
      <c r="Q1365">
        <v>18</v>
      </c>
      <c r="R1365">
        <v>18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18</v>
      </c>
      <c r="Z1365">
        <v>0</v>
      </c>
      <c r="AA1365">
        <v>0</v>
      </c>
      <c r="AC1365">
        <v>71.2</v>
      </c>
    </row>
    <row r="1366" spans="1:29">
      <c r="A1366">
        <v>1359</v>
      </c>
      <c r="B1366">
        <v>4897</v>
      </c>
      <c r="C1366" t="s">
        <v>712</v>
      </c>
      <c r="D1366" t="s">
        <v>145</v>
      </c>
      <c r="E1366" t="s">
        <v>79</v>
      </c>
      <c r="F1366" t="s">
        <v>3110</v>
      </c>
      <c r="G1366" t="str">
        <f>"00470704"</f>
        <v>00470704</v>
      </c>
      <c r="H1366">
        <v>43.2</v>
      </c>
      <c r="I1366">
        <v>0</v>
      </c>
      <c r="L1366">
        <v>4</v>
      </c>
      <c r="M1366">
        <v>4</v>
      </c>
      <c r="N1366">
        <v>4</v>
      </c>
      <c r="O1366">
        <v>2</v>
      </c>
      <c r="P1366">
        <v>53.2</v>
      </c>
      <c r="Q1366">
        <v>18</v>
      </c>
      <c r="R1366">
        <v>18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18</v>
      </c>
      <c r="Z1366">
        <v>0</v>
      </c>
      <c r="AA1366">
        <v>0</v>
      </c>
      <c r="AC1366">
        <v>71.2</v>
      </c>
    </row>
    <row r="1367" spans="1:29">
      <c r="A1367">
        <v>1360</v>
      </c>
      <c r="B1367">
        <v>833</v>
      </c>
      <c r="C1367" t="s">
        <v>3106</v>
      </c>
      <c r="D1367" t="s">
        <v>544</v>
      </c>
      <c r="E1367" t="s">
        <v>115</v>
      </c>
      <c r="F1367" t="s">
        <v>3107</v>
      </c>
      <c r="G1367" t="str">
        <f>"00109603"</f>
        <v>00109603</v>
      </c>
      <c r="H1367">
        <v>43.2</v>
      </c>
      <c r="I1367">
        <v>0</v>
      </c>
      <c r="L1367">
        <v>4</v>
      </c>
      <c r="M1367">
        <v>4</v>
      </c>
      <c r="N1367">
        <v>4</v>
      </c>
      <c r="O1367">
        <v>2</v>
      </c>
      <c r="P1367">
        <v>53.2</v>
      </c>
      <c r="Q1367">
        <v>18</v>
      </c>
      <c r="R1367">
        <v>18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18</v>
      </c>
      <c r="Z1367">
        <v>0</v>
      </c>
      <c r="AA1367">
        <v>0</v>
      </c>
      <c r="AC1367">
        <v>71.2</v>
      </c>
    </row>
    <row r="1368" spans="1:29">
      <c r="A1368">
        <v>1361</v>
      </c>
      <c r="B1368">
        <v>1145</v>
      </c>
      <c r="C1368" t="s">
        <v>3103</v>
      </c>
      <c r="D1368" t="s">
        <v>3104</v>
      </c>
      <c r="E1368" t="s">
        <v>237</v>
      </c>
      <c r="F1368" t="s">
        <v>3105</v>
      </c>
      <c r="G1368" t="str">
        <f>"00485655"</f>
        <v>00485655</v>
      </c>
      <c r="H1368">
        <v>43.2</v>
      </c>
      <c r="I1368">
        <v>0</v>
      </c>
      <c r="L1368">
        <v>4</v>
      </c>
      <c r="M1368">
        <v>4</v>
      </c>
      <c r="N1368">
        <v>4</v>
      </c>
      <c r="O1368">
        <v>2</v>
      </c>
      <c r="P1368">
        <v>53.2</v>
      </c>
      <c r="Q1368">
        <v>18</v>
      </c>
      <c r="R1368">
        <v>18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18</v>
      </c>
      <c r="Z1368">
        <v>0</v>
      </c>
      <c r="AA1368">
        <v>0</v>
      </c>
      <c r="AC1368">
        <v>71.2</v>
      </c>
    </row>
    <row r="1369" spans="1:29">
      <c r="A1369">
        <v>1362</v>
      </c>
      <c r="B1369">
        <v>266</v>
      </c>
      <c r="C1369" t="s">
        <v>3111</v>
      </c>
      <c r="D1369" t="s">
        <v>108</v>
      </c>
      <c r="E1369" t="s">
        <v>15</v>
      </c>
      <c r="F1369" t="s">
        <v>3112</v>
      </c>
      <c r="G1369" t="str">
        <f>"00208268"</f>
        <v>00208268</v>
      </c>
      <c r="H1369">
        <v>39.200000000000003</v>
      </c>
      <c r="I1369">
        <v>0</v>
      </c>
      <c r="J1369">
        <v>8</v>
      </c>
      <c r="M1369">
        <v>8</v>
      </c>
      <c r="N1369">
        <v>4</v>
      </c>
      <c r="O1369">
        <v>2</v>
      </c>
      <c r="P1369">
        <v>53.2</v>
      </c>
      <c r="Q1369">
        <v>18</v>
      </c>
      <c r="R1369">
        <v>18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18</v>
      </c>
      <c r="Z1369">
        <v>0</v>
      </c>
      <c r="AA1369">
        <v>0</v>
      </c>
      <c r="AC1369">
        <v>71.2</v>
      </c>
    </row>
    <row r="1370" spans="1:29">
      <c r="A1370">
        <v>1363</v>
      </c>
      <c r="B1370">
        <v>853</v>
      </c>
      <c r="C1370" t="s">
        <v>3113</v>
      </c>
      <c r="D1370" t="s">
        <v>3114</v>
      </c>
      <c r="E1370" t="s">
        <v>15</v>
      </c>
      <c r="F1370" t="s">
        <v>3115</v>
      </c>
      <c r="G1370" t="str">
        <f>"00523594"</f>
        <v>00523594</v>
      </c>
      <c r="H1370">
        <v>43.2</v>
      </c>
      <c r="I1370">
        <v>0</v>
      </c>
      <c r="L1370">
        <v>4</v>
      </c>
      <c r="M1370">
        <v>4</v>
      </c>
      <c r="N1370">
        <v>4</v>
      </c>
      <c r="O1370">
        <v>0</v>
      </c>
      <c r="P1370">
        <v>51.2</v>
      </c>
      <c r="Q1370">
        <v>0</v>
      </c>
      <c r="R1370">
        <v>0</v>
      </c>
      <c r="S1370">
        <v>10</v>
      </c>
      <c r="T1370">
        <v>20</v>
      </c>
      <c r="U1370">
        <v>0</v>
      </c>
      <c r="V1370">
        <v>0</v>
      </c>
      <c r="W1370">
        <v>0</v>
      </c>
      <c r="X1370">
        <v>0</v>
      </c>
      <c r="Y1370">
        <v>20</v>
      </c>
      <c r="Z1370">
        <v>0</v>
      </c>
      <c r="AA1370">
        <v>0</v>
      </c>
      <c r="AC1370">
        <v>71.2</v>
      </c>
    </row>
    <row r="1371" spans="1:29">
      <c r="A1371">
        <v>1364</v>
      </c>
      <c r="B1371">
        <v>4195</v>
      </c>
      <c r="C1371" t="s">
        <v>1637</v>
      </c>
      <c r="D1371" t="s">
        <v>733</v>
      </c>
      <c r="E1371" t="s">
        <v>66</v>
      </c>
      <c r="F1371" t="s">
        <v>3116</v>
      </c>
      <c r="G1371" t="str">
        <f>"00480745"</f>
        <v>00480745</v>
      </c>
      <c r="H1371">
        <v>7.2</v>
      </c>
      <c r="I1371">
        <v>10</v>
      </c>
      <c r="M1371">
        <v>0</v>
      </c>
      <c r="N1371">
        <v>4</v>
      </c>
      <c r="O1371">
        <v>2</v>
      </c>
      <c r="P1371">
        <v>23.2</v>
      </c>
      <c r="Q1371">
        <v>48</v>
      </c>
      <c r="R1371">
        <v>48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48</v>
      </c>
      <c r="Z1371">
        <v>0</v>
      </c>
      <c r="AA1371">
        <v>0</v>
      </c>
      <c r="AC1371">
        <v>71.2</v>
      </c>
    </row>
    <row r="1372" spans="1:29">
      <c r="A1372">
        <v>1365</v>
      </c>
      <c r="B1372">
        <v>3584</v>
      </c>
      <c r="C1372" t="s">
        <v>26</v>
      </c>
      <c r="D1372" t="s">
        <v>27</v>
      </c>
      <c r="E1372" t="s">
        <v>375</v>
      </c>
      <c r="F1372" t="s">
        <v>3117</v>
      </c>
      <c r="G1372" t="str">
        <f>"00530527"</f>
        <v>00530527</v>
      </c>
      <c r="H1372">
        <v>13.16</v>
      </c>
      <c r="I1372">
        <v>0</v>
      </c>
      <c r="L1372">
        <v>4</v>
      </c>
      <c r="M1372">
        <v>4</v>
      </c>
      <c r="N1372">
        <v>0</v>
      </c>
      <c r="O1372">
        <v>2</v>
      </c>
      <c r="P1372">
        <v>19.16</v>
      </c>
      <c r="Q1372">
        <v>46</v>
      </c>
      <c r="R1372">
        <v>46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46</v>
      </c>
      <c r="Z1372">
        <v>6</v>
      </c>
      <c r="AA1372">
        <v>0</v>
      </c>
      <c r="AC1372">
        <v>71.16</v>
      </c>
    </row>
    <row r="1373" spans="1:29">
      <c r="A1373">
        <v>1366</v>
      </c>
      <c r="B1373">
        <v>4546</v>
      </c>
      <c r="C1373" t="s">
        <v>2679</v>
      </c>
      <c r="D1373" t="s">
        <v>35</v>
      </c>
      <c r="E1373" t="s">
        <v>18</v>
      </c>
      <c r="F1373" t="s">
        <v>3118</v>
      </c>
      <c r="G1373" t="str">
        <f>"201511031794"</f>
        <v>201511031794</v>
      </c>
      <c r="H1373">
        <v>35.119999999999997</v>
      </c>
      <c r="I1373">
        <v>10</v>
      </c>
      <c r="L1373">
        <v>4</v>
      </c>
      <c r="M1373">
        <v>4</v>
      </c>
      <c r="N1373">
        <v>4</v>
      </c>
      <c r="O1373">
        <v>0</v>
      </c>
      <c r="P1373">
        <v>53.12</v>
      </c>
      <c r="Q1373">
        <v>18</v>
      </c>
      <c r="R1373">
        <v>18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18</v>
      </c>
      <c r="Z1373">
        <v>0</v>
      </c>
      <c r="AA1373">
        <v>0</v>
      </c>
      <c r="AC1373">
        <v>71.12</v>
      </c>
    </row>
    <row r="1374" spans="1:29">
      <c r="A1374">
        <v>1367</v>
      </c>
      <c r="B1374">
        <v>2667</v>
      </c>
      <c r="C1374" t="s">
        <v>3119</v>
      </c>
      <c r="D1374" t="s">
        <v>52</v>
      </c>
      <c r="E1374" t="s">
        <v>15</v>
      </c>
      <c r="F1374" t="s">
        <v>3120</v>
      </c>
      <c r="G1374" t="str">
        <f>"00654105"</f>
        <v>00654105</v>
      </c>
      <c r="H1374">
        <v>36</v>
      </c>
      <c r="I1374">
        <v>10</v>
      </c>
      <c r="J1374">
        <v>8</v>
      </c>
      <c r="M1374">
        <v>8</v>
      </c>
      <c r="N1374">
        <v>0</v>
      </c>
      <c r="O1374">
        <v>0</v>
      </c>
      <c r="P1374">
        <v>54</v>
      </c>
      <c r="Q1374">
        <v>8</v>
      </c>
      <c r="R1374">
        <v>8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8</v>
      </c>
      <c r="Z1374">
        <v>9</v>
      </c>
      <c r="AA1374">
        <v>0</v>
      </c>
      <c r="AC1374">
        <v>71</v>
      </c>
    </row>
    <row r="1375" spans="1:29">
      <c r="A1375">
        <v>1368</v>
      </c>
      <c r="B1375">
        <v>3820</v>
      </c>
      <c r="C1375" t="s">
        <v>3121</v>
      </c>
      <c r="D1375" t="s">
        <v>175</v>
      </c>
      <c r="E1375" t="s">
        <v>15</v>
      </c>
      <c r="F1375" t="s">
        <v>3122</v>
      </c>
      <c r="G1375" t="str">
        <f>"00504028"</f>
        <v>00504028</v>
      </c>
      <c r="H1375">
        <v>36</v>
      </c>
      <c r="I1375">
        <v>0</v>
      </c>
      <c r="L1375">
        <v>4</v>
      </c>
      <c r="M1375">
        <v>4</v>
      </c>
      <c r="N1375">
        <v>4</v>
      </c>
      <c r="O1375">
        <v>0</v>
      </c>
      <c r="P1375">
        <v>44</v>
      </c>
      <c r="Q1375">
        <v>24</v>
      </c>
      <c r="R1375">
        <v>24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24</v>
      </c>
      <c r="Z1375">
        <v>3</v>
      </c>
      <c r="AA1375">
        <v>0</v>
      </c>
      <c r="AC1375">
        <v>71</v>
      </c>
    </row>
    <row r="1376" spans="1:29">
      <c r="A1376">
        <v>1369</v>
      </c>
      <c r="B1376">
        <v>2168</v>
      </c>
      <c r="C1376" t="s">
        <v>3123</v>
      </c>
      <c r="D1376" t="s">
        <v>3124</v>
      </c>
      <c r="E1376" t="s">
        <v>53</v>
      </c>
      <c r="F1376" t="s">
        <v>3125</v>
      </c>
      <c r="G1376" t="str">
        <f>"00308388"</f>
        <v>00308388</v>
      </c>
      <c r="H1376">
        <v>36</v>
      </c>
      <c r="I1376">
        <v>0</v>
      </c>
      <c r="L1376">
        <v>4</v>
      </c>
      <c r="M1376">
        <v>4</v>
      </c>
      <c r="N1376">
        <v>0</v>
      </c>
      <c r="O1376">
        <v>2</v>
      </c>
      <c r="P1376">
        <v>42</v>
      </c>
      <c r="Q1376">
        <v>26</v>
      </c>
      <c r="R1376">
        <v>26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26</v>
      </c>
      <c r="Z1376">
        <v>3</v>
      </c>
      <c r="AA1376">
        <v>0</v>
      </c>
      <c r="AC1376">
        <v>71</v>
      </c>
    </row>
    <row r="1377" spans="1:29">
      <c r="A1377">
        <v>1370</v>
      </c>
      <c r="B1377">
        <v>3974</v>
      </c>
      <c r="C1377" t="s">
        <v>3126</v>
      </c>
      <c r="D1377" t="s">
        <v>27</v>
      </c>
      <c r="E1377" t="s">
        <v>156</v>
      </c>
      <c r="F1377" t="s">
        <v>3127</v>
      </c>
      <c r="G1377" t="str">
        <f>"00516802"</f>
        <v>00516802</v>
      </c>
      <c r="H1377">
        <v>28.88</v>
      </c>
      <c r="I1377">
        <v>0</v>
      </c>
      <c r="M1377">
        <v>0</v>
      </c>
      <c r="N1377">
        <v>4</v>
      </c>
      <c r="O1377">
        <v>2</v>
      </c>
      <c r="P1377">
        <v>34.880000000000003</v>
      </c>
      <c r="Q1377">
        <v>33</v>
      </c>
      <c r="R1377">
        <v>33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33</v>
      </c>
      <c r="Z1377">
        <v>3</v>
      </c>
      <c r="AA1377">
        <v>0</v>
      </c>
      <c r="AC1377">
        <v>70.88</v>
      </c>
    </row>
    <row r="1378" spans="1:29">
      <c r="A1378">
        <v>1371</v>
      </c>
      <c r="B1378">
        <v>2497</v>
      </c>
      <c r="C1378" t="s">
        <v>3128</v>
      </c>
      <c r="D1378" t="s">
        <v>3129</v>
      </c>
      <c r="E1378" t="s">
        <v>3130</v>
      </c>
      <c r="F1378" t="s">
        <v>3131</v>
      </c>
      <c r="G1378" t="str">
        <f>"00534020"</f>
        <v>00534020</v>
      </c>
      <c r="H1378">
        <v>24.8</v>
      </c>
      <c r="I1378">
        <v>0</v>
      </c>
      <c r="J1378">
        <v>8</v>
      </c>
      <c r="M1378">
        <v>8</v>
      </c>
      <c r="N1378">
        <v>4</v>
      </c>
      <c r="O1378">
        <v>2</v>
      </c>
      <c r="P1378">
        <v>38.799999999999997</v>
      </c>
      <c r="Q1378">
        <v>26</v>
      </c>
      <c r="R1378">
        <v>26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26</v>
      </c>
      <c r="Z1378">
        <v>6</v>
      </c>
      <c r="AA1378">
        <v>0</v>
      </c>
      <c r="AC1378">
        <v>70.8</v>
      </c>
    </row>
    <row r="1379" spans="1:29">
      <c r="A1379">
        <v>1372</v>
      </c>
      <c r="B1379">
        <v>343</v>
      </c>
      <c r="C1379" t="s">
        <v>3133</v>
      </c>
      <c r="D1379" t="s">
        <v>3134</v>
      </c>
      <c r="E1379" t="s">
        <v>36</v>
      </c>
      <c r="F1379" t="s">
        <v>3135</v>
      </c>
      <c r="G1379" t="str">
        <f>"00756393"</f>
        <v>00756393</v>
      </c>
      <c r="H1379">
        <v>64.8</v>
      </c>
      <c r="I1379">
        <v>0</v>
      </c>
      <c r="M1379">
        <v>0</v>
      </c>
      <c r="N1379">
        <v>4</v>
      </c>
      <c r="O1379">
        <v>2</v>
      </c>
      <c r="P1379">
        <v>70.8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C1379">
        <v>70.8</v>
      </c>
    </row>
    <row r="1380" spans="1:29">
      <c r="A1380">
        <v>1373</v>
      </c>
      <c r="B1380">
        <v>1087</v>
      </c>
      <c r="C1380" t="s">
        <v>1737</v>
      </c>
      <c r="D1380" t="s">
        <v>49</v>
      </c>
      <c r="E1380" t="s">
        <v>156</v>
      </c>
      <c r="F1380" t="s">
        <v>3132</v>
      </c>
      <c r="G1380" t="str">
        <f>"00854483"</f>
        <v>00854483</v>
      </c>
      <c r="H1380">
        <v>64.8</v>
      </c>
      <c r="I1380">
        <v>0</v>
      </c>
      <c r="M1380">
        <v>0</v>
      </c>
      <c r="N1380">
        <v>4</v>
      </c>
      <c r="O1380">
        <v>2</v>
      </c>
      <c r="P1380">
        <v>70.8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C1380">
        <v>70.8</v>
      </c>
    </row>
    <row r="1381" spans="1:29">
      <c r="A1381">
        <v>1374</v>
      </c>
      <c r="B1381">
        <v>3008</v>
      </c>
      <c r="C1381" t="s">
        <v>3136</v>
      </c>
      <c r="D1381" t="s">
        <v>20</v>
      </c>
      <c r="E1381" t="s">
        <v>66</v>
      </c>
      <c r="F1381" t="s">
        <v>3137</v>
      </c>
      <c r="G1381" t="str">
        <f>"00524729"</f>
        <v>00524729</v>
      </c>
      <c r="H1381">
        <v>28.8</v>
      </c>
      <c r="I1381">
        <v>0</v>
      </c>
      <c r="M1381">
        <v>0</v>
      </c>
      <c r="N1381">
        <v>4</v>
      </c>
      <c r="O1381">
        <v>2</v>
      </c>
      <c r="P1381">
        <v>34.799999999999997</v>
      </c>
      <c r="Q1381">
        <v>0</v>
      </c>
      <c r="R1381">
        <v>0</v>
      </c>
      <c r="S1381">
        <v>18</v>
      </c>
      <c r="T1381">
        <v>36</v>
      </c>
      <c r="U1381">
        <v>0</v>
      </c>
      <c r="V1381">
        <v>0</v>
      </c>
      <c r="W1381">
        <v>0</v>
      </c>
      <c r="X1381">
        <v>0</v>
      </c>
      <c r="Y1381">
        <v>36</v>
      </c>
      <c r="Z1381">
        <v>0</v>
      </c>
      <c r="AA1381">
        <v>0</v>
      </c>
      <c r="AC1381">
        <v>70.8</v>
      </c>
    </row>
    <row r="1382" spans="1:29">
      <c r="A1382">
        <v>1375</v>
      </c>
      <c r="B1382">
        <v>1961</v>
      </c>
      <c r="C1382" t="s">
        <v>3138</v>
      </c>
      <c r="D1382" t="s">
        <v>433</v>
      </c>
      <c r="E1382" t="s">
        <v>3139</v>
      </c>
      <c r="F1382" t="s">
        <v>3140</v>
      </c>
      <c r="G1382" t="str">
        <f>"200910000341"</f>
        <v>200910000341</v>
      </c>
      <c r="H1382">
        <v>37.520000000000003</v>
      </c>
      <c r="I1382">
        <v>0</v>
      </c>
      <c r="M1382">
        <v>0</v>
      </c>
      <c r="N1382">
        <v>0</v>
      </c>
      <c r="O1382">
        <v>0</v>
      </c>
      <c r="P1382">
        <v>37.520000000000003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6</v>
      </c>
      <c r="AA1382">
        <v>27.2</v>
      </c>
      <c r="AC1382">
        <v>70.72</v>
      </c>
    </row>
    <row r="1383" spans="1:29">
      <c r="A1383">
        <v>1376</v>
      </c>
      <c r="B1383">
        <v>1514</v>
      </c>
      <c r="C1383" t="s">
        <v>3141</v>
      </c>
      <c r="D1383" t="s">
        <v>130</v>
      </c>
      <c r="E1383" t="s">
        <v>50</v>
      </c>
      <c r="F1383" t="s">
        <v>3142</v>
      </c>
      <c r="G1383" t="str">
        <f>"201510003578"</f>
        <v>201510003578</v>
      </c>
      <c r="H1383">
        <v>36.72</v>
      </c>
      <c r="I1383">
        <v>0</v>
      </c>
      <c r="L1383">
        <v>4</v>
      </c>
      <c r="M1383">
        <v>4</v>
      </c>
      <c r="N1383">
        <v>4</v>
      </c>
      <c r="O1383">
        <v>2</v>
      </c>
      <c r="P1383">
        <v>46.72</v>
      </c>
      <c r="Q1383">
        <v>18</v>
      </c>
      <c r="R1383">
        <v>18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18</v>
      </c>
      <c r="Z1383">
        <v>6</v>
      </c>
      <c r="AA1383">
        <v>0</v>
      </c>
      <c r="AC1383">
        <v>70.72</v>
      </c>
    </row>
    <row r="1384" spans="1:29">
      <c r="A1384">
        <v>1377</v>
      </c>
      <c r="B1384">
        <v>1420</v>
      </c>
      <c r="C1384" t="s">
        <v>3143</v>
      </c>
      <c r="D1384" t="s">
        <v>27</v>
      </c>
      <c r="E1384" t="s">
        <v>122</v>
      </c>
      <c r="F1384" t="s">
        <v>3144</v>
      </c>
      <c r="G1384" t="str">
        <f>"00803921"</f>
        <v>00803921</v>
      </c>
      <c r="H1384">
        <v>57.6</v>
      </c>
      <c r="I1384">
        <v>0</v>
      </c>
      <c r="L1384">
        <v>4</v>
      </c>
      <c r="M1384">
        <v>4</v>
      </c>
      <c r="N1384">
        <v>0</v>
      </c>
      <c r="O1384">
        <v>0</v>
      </c>
      <c r="P1384">
        <v>61.6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9</v>
      </c>
      <c r="AA1384">
        <v>0</v>
      </c>
      <c r="AC1384">
        <v>70.599999999999994</v>
      </c>
    </row>
    <row r="1385" spans="1:29">
      <c r="A1385">
        <v>1378</v>
      </c>
      <c r="B1385">
        <v>3566</v>
      </c>
      <c r="C1385" t="s">
        <v>3145</v>
      </c>
      <c r="D1385" t="s">
        <v>170</v>
      </c>
      <c r="E1385" t="s">
        <v>36</v>
      </c>
      <c r="F1385" t="s">
        <v>3146</v>
      </c>
      <c r="G1385" t="str">
        <f>"00480083"</f>
        <v>00480083</v>
      </c>
      <c r="H1385">
        <v>32.6</v>
      </c>
      <c r="I1385">
        <v>0</v>
      </c>
      <c r="M1385">
        <v>0</v>
      </c>
      <c r="N1385">
        <v>0</v>
      </c>
      <c r="O1385">
        <v>0</v>
      </c>
      <c r="P1385">
        <v>32.6</v>
      </c>
      <c r="Q1385">
        <v>32</v>
      </c>
      <c r="R1385">
        <v>32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32</v>
      </c>
      <c r="Z1385">
        <v>6</v>
      </c>
      <c r="AA1385">
        <v>0</v>
      </c>
      <c r="AC1385">
        <v>70.599999999999994</v>
      </c>
    </row>
    <row r="1386" spans="1:29">
      <c r="A1386">
        <v>1379</v>
      </c>
      <c r="B1386">
        <v>3255</v>
      </c>
      <c r="C1386" t="s">
        <v>3149</v>
      </c>
      <c r="D1386" t="s">
        <v>159</v>
      </c>
      <c r="E1386" t="s">
        <v>115</v>
      </c>
      <c r="F1386" t="s">
        <v>3150</v>
      </c>
      <c r="G1386" t="str">
        <f>"00542556"</f>
        <v>00542556</v>
      </c>
      <c r="H1386">
        <v>57.6</v>
      </c>
      <c r="I1386">
        <v>0</v>
      </c>
      <c r="L1386">
        <v>4</v>
      </c>
      <c r="M1386">
        <v>4</v>
      </c>
      <c r="N1386">
        <v>4</v>
      </c>
      <c r="O1386">
        <v>2</v>
      </c>
      <c r="P1386">
        <v>67.599999999999994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3</v>
      </c>
      <c r="AA1386">
        <v>0</v>
      </c>
      <c r="AC1386">
        <v>70.599999999999994</v>
      </c>
    </row>
    <row r="1387" spans="1:29">
      <c r="A1387">
        <v>1380</v>
      </c>
      <c r="B1387">
        <v>3238</v>
      </c>
      <c r="C1387" t="s">
        <v>3147</v>
      </c>
      <c r="D1387" t="s">
        <v>903</v>
      </c>
      <c r="E1387" t="s">
        <v>18</v>
      </c>
      <c r="F1387" t="s">
        <v>3148</v>
      </c>
      <c r="G1387" t="str">
        <f>"00161921"</f>
        <v>00161921</v>
      </c>
      <c r="H1387">
        <v>57.6</v>
      </c>
      <c r="I1387">
        <v>0</v>
      </c>
      <c r="L1387">
        <v>4</v>
      </c>
      <c r="M1387">
        <v>4</v>
      </c>
      <c r="N1387">
        <v>4</v>
      </c>
      <c r="O1387">
        <v>2</v>
      </c>
      <c r="P1387">
        <v>67.599999999999994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3</v>
      </c>
      <c r="AA1387">
        <v>0</v>
      </c>
      <c r="AC1387">
        <v>70.599999999999994</v>
      </c>
    </row>
    <row r="1388" spans="1:29">
      <c r="A1388">
        <v>1381</v>
      </c>
      <c r="B1388">
        <v>647</v>
      </c>
      <c r="C1388" t="s">
        <v>3151</v>
      </c>
      <c r="D1388" t="s">
        <v>95</v>
      </c>
      <c r="E1388" t="s">
        <v>134</v>
      </c>
      <c r="F1388" t="s">
        <v>3152</v>
      </c>
      <c r="G1388" t="str">
        <f>"00297779"</f>
        <v>00297779</v>
      </c>
      <c r="H1388">
        <v>37.6</v>
      </c>
      <c r="I1388">
        <v>0</v>
      </c>
      <c r="M1388">
        <v>0</v>
      </c>
      <c r="N1388">
        <v>0</v>
      </c>
      <c r="O1388">
        <v>0</v>
      </c>
      <c r="P1388">
        <v>37.6</v>
      </c>
      <c r="Q1388">
        <v>30</v>
      </c>
      <c r="R1388">
        <v>30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30</v>
      </c>
      <c r="Z1388">
        <v>3</v>
      </c>
      <c r="AA1388">
        <v>0</v>
      </c>
      <c r="AC1388">
        <v>70.599999999999994</v>
      </c>
    </row>
    <row r="1389" spans="1:29">
      <c r="A1389">
        <v>1382</v>
      </c>
      <c r="B1389">
        <v>1911</v>
      </c>
      <c r="C1389" t="s">
        <v>571</v>
      </c>
      <c r="D1389" t="s">
        <v>465</v>
      </c>
      <c r="E1389" t="s">
        <v>79</v>
      </c>
      <c r="F1389" t="s">
        <v>3153</v>
      </c>
      <c r="G1389" t="str">
        <f>"00498489"</f>
        <v>00498489</v>
      </c>
      <c r="H1389">
        <v>39.6</v>
      </c>
      <c r="I1389">
        <v>10</v>
      </c>
      <c r="M1389">
        <v>0</v>
      </c>
      <c r="N1389">
        <v>4</v>
      </c>
      <c r="O1389">
        <v>0</v>
      </c>
      <c r="P1389">
        <v>53.6</v>
      </c>
      <c r="Q1389">
        <v>17</v>
      </c>
      <c r="R1389">
        <v>17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17</v>
      </c>
      <c r="Z1389">
        <v>0</v>
      </c>
      <c r="AA1389">
        <v>0</v>
      </c>
      <c r="AC1389">
        <v>70.599999999999994</v>
      </c>
    </row>
    <row r="1390" spans="1:29">
      <c r="A1390">
        <v>1383</v>
      </c>
      <c r="B1390">
        <v>297</v>
      </c>
      <c r="C1390" t="s">
        <v>3154</v>
      </c>
      <c r="D1390" t="s">
        <v>27</v>
      </c>
      <c r="E1390" t="s">
        <v>79</v>
      </c>
      <c r="F1390" t="s">
        <v>3155</v>
      </c>
      <c r="G1390" t="str">
        <f>"00095878"</f>
        <v>00095878</v>
      </c>
      <c r="H1390">
        <v>39.6</v>
      </c>
      <c r="I1390">
        <v>0</v>
      </c>
      <c r="M1390">
        <v>0</v>
      </c>
      <c r="N1390">
        <v>4</v>
      </c>
      <c r="O1390">
        <v>2</v>
      </c>
      <c r="P1390">
        <v>45.6</v>
      </c>
      <c r="Q1390">
        <v>25</v>
      </c>
      <c r="R1390">
        <v>25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25</v>
      </c>
      <c r="Z1390">
        <v>0</v>
      </c>
      <c r="AA1390">
        <v>0</v>
      </c>
      <c r="AC1390">
        <v>70.599999999999994</v>
      </c>
    </row>
    <row r="1391" spans="1:29">
      <c r="A1391">
        <v>1384</v>
      </c>
      <c r="B1391">
        <v>1311</v>
      </c>
      <c r="C1391" t="s">
        <v>3156</v>
      </c>
      <c r="D1391" t="s">
        <v>98</v>
      </c>
      <c r="E1391" t="s">
        <v>18</v>
      </c>
      <c r="F1391" t="s">
        <v>3157</v>
      </c>
      <c r="G1391" t="str">
        <f>"00512110"</f>
        <v>00512110</v>
      </c>
      <c r="H1391">
        <v>29.6</v>
      </c>
      <c r="I1391">
        <v>0</v>
      </c>
      <c r="M1391">
        <v>0</v>
      </c>
      <c r="N1391">
        <v>0</v>
      </c>
      <c r="O1391">
        <v>2</v>
      </c>
      <c r="P1391">
        <v>31.6</v>
      </c>
      <c r="Q1391">
        <v>39</v>
      </c>
      <c r="R1391">
        <v>39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39</v>
      </c>
      <c r="Z1391">
        <v>0</v>
      </c>
      <c r="AA1391">
        <v>0</v>
      </c>
      <c r="AC1391">
        <v>70.599999999999994</v>
      </c>
    </row>
    <row r="1392" spans="1:29">
      <c r="A1392">
        <v>1385</v>
      </c>
      <c r="B1392">
        <v>2228</v>
      </c>
      <c r="C1392" t="s">
        <v>3158</v>
      </c>
      <c r="D1392" t="s">
        <v>24</v>
      </c>
      <c r="E1392" t="s">
        <v>777</v>
      </c>
      <c r="F1392" t="s">
        <v>3159</v>
      </c>
      <c r="G1392" t="str">
        <f>"00532869"</f>
        <v>00532869</v>
      </c>
      <c r="H1392">
        <v>21.6</v>
      </c>
      <c r="I1392">
        <v>10</v>
      </c>
      <c r="M1392">
        <v>0</v>
      </c>
      <c r="N1392">
        <v>0</v>
      </c>
      <c r="O1392">
        <v>0</v>
      </c>
      <c r="P1392">
        <v>31.6</v>
      </c>
      <c r="Q1392">
        <v>39</v>
      </c>
      <c r="R1392">
        <v>39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39</v>
      </c>
      <c r="Z1392">
        <v>0</v>
      </c>
      <c r="AA1392">
        <v>0</v>
      </c>
      <c r="AC1392">
        <v>70.599999999999994</v>
      </c>
    </row>
    <row r="1393" spans="1:29">
      <c r="A1393">
        <v>1386</v>
      </c>
      <c r="B1393">
        <v>3236</v>
      </c>
      <c r="C1393" t="s">
        <v>2702</v>
      </c>
      <c r="D1393" t="s">
        <v>24</v>
      </c>
      <c r="E1393" t="s">
        <v>115</v>
      </c>
      <c r="F1393" t="s">
        <v>3160</v>
      </c>
      <c r="G1393" t="str">
        <f>"00529736"</f>
        <v>00529736</v>
      </c>
      <c r="H1393">
        <v>35.56</v>
      </c>
      <c r="I1393">
        <v>0</v>
      </c>
      <c r="M1393">
        <v>0</v>
      </c>
      <c r="N1393">
        <v>0</v>
      </c>
      <c r="O1393">
        <v>0</v>
      </c>
      <c r="P1393">
        <v>35.56</v>
      </c>
      <c r="Q1393">
        <v>32</v>
      </c>
      <c r="R1393">
        <v>32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32</v>
      </c>
      <c r="Z1393">
        <v>3</v>
      </c>
      <c r="AA1393">
        <v>0</v>
      </c>
      <c r="AC1393">
        <v>70.56</v>
      </c>
    </row>
    <row r="1394" spans="1:29">
      <c r="A1394">
        <v>1387</v>
      </c>
      <c r="B1394">
        <v>800</v>
      </c>
      <c r="C1394" t="s">
        <v>3161</v>
      </c>
      <c r="D1394" t="s">
        <v>3162</v>
      </c>
      <c r="E1394" t="s">
        <v>322</v>
      </c>
      <c r="F1394" t="s">
        <v>3163</v>
      </c>
      <c r="G1394" t="str">
        <f>"00141640"</f>
        <v>00141640</v>
      </c>
      <c r="H1394">
        <v>14.4</v>
      </c>
      <c r="I1394">
        <v>0</v>
      </c>
      <c r="L1394">
        <v>4</v>
      </c>
      <c r="M1394">
        <v>4</v>
      </c>
      <c r="N1394">
        <v>4</v>
      </c>
      <c r="O1394">
        <v>2</v>
      </c>
      <c r="P1394">
        <v>24.4</v>
      </c>
      <c r="Q1394">
        <v>17</v>
      </c>
      <c r="R1394">
        <v>17</v>
      </c>
      <c r="S1394">
        <v>10</v>
      </c>
      <c r="T1394">
        <v>20</v>
      </c>
      <c r="U1394">
        <v>0</v>
      </c>
      <c r="V1394">
        <v>0</v>
      </c>
      <c r="W1394">
        <v>0</v>
      </c>
      <c r="X1394">
        <v>0</v>
      </c>
      <c r="Y1394">
        <v>37</v>
      </c>
      <c r="Z1394">
        <v>9</v>
      </c>
      <c r="AA1394">
        <v>0</v>
      </c>
      <c r="AC1394">
        <v>70.400000000000006</v>
      </c>
    </row>
    <row r="1395" spans="1:29">
      <c r="A1395">
        <v>1388</v>
      </c>
      <c r="B1395">
        <v>1000</v>
      </c>
      <c r="C1395" t="s">
        <v>3164</v>
      </c>
      <c r="D1395" t="s">
        <v>276</v>
      </c>
      <c r="E1395" t="s">
        <v>36</v>
      </c>
      <c r="F1395" t="s">
        <v>3165</v>
      </c>
      <c r="G1395" t="str">
        <f>"00855308"</f>
        <v>00855308</v>
      </c>
      <c r="H1395">
        <v>50.4</v>
      </c>
      <c r="I1395">
        <v>0</v>
      </c>
      <c r="J1395">
        <v>8</v>
      </c>
      <c r="M1395">
        <v>8</v>
      </c>
      <c r="N1395">
        <v>4</v>
      </c>
      <c r="O1395">
        <v>2</v>
      </c>
      <c r="P1395">
        <v>64.400000000000006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6</v>
      </c>
      <c r="AA1395">
        <v>0</v>
      </c>
      <c r="AC1395">
        <v>70.400000000000006</v>
      </c>
    </row>
    <row r="1396" spans="1:29">
      <c r="A1396">
        <v>1389</v>
      </c>
      <c r="B1396">
        <v>958</v>
      </c>
      <c r="C1396" t="s">
        <v>3166</v>
      </c>
      <c r="D1396" t="s">
        <v>279</v>
      </c>
      <c r="E1396" t="s">
        <v>32</v>
      </c>
      <c r="F1396" t="s">
        <v>3167</v>
      </c>
      <c r="G1396" t="str">
        <f>"00528515"</f>
        <v>00528515</v>
      </c>
      <c r="H1396">
        <v>50.4</v>
      </c>
      <c r="I1396">
        <v>0</v>
      </c>
      <c r="M1396">
        <v>0</v>
      </c>
      <c r="N1396">
        <v>4</v>
      </c>
      <c r="O1396">
        <v>2</v>
      </c>
      <c r="P1396">
        <v>56.4</v>
      </c>
      <c r="Q1396">
        <v>8</v>
      </c>
      <c r="R1396">
        <v>8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8</v>
      </c>
      <c r="Z1396">
        <v>6</v>
      </c>
      <c r="AA1396">
        <v>0</v>
      </c>
      <c r="AC1396">
        <v>70.400000000000006</v>
      </c>
    </row>
    <row r="1397" spans="1:29">
      <c r="A1397">
        <v>1390</v>
      </c>
      <c r="B1397">
        <v>4135</v>
      </c>
      <c r="C1397" t="s">
        <v>3168</v>
      </c>
      <c r="D1397" t="s">
        <v>394</v>
      </c>
      <c r="E1397" t="s">
        <v>156</v>
      </c>
      <c r="F1397" t="s">
        <v>3169</v>
      </c>
      <c r="G1397" t="str">
        <f>"00859622"</f>
        <v>00859622</v>
      </c>
      <c r="H1397">
        <v>50.4</v>
      </c>
      <c r="I1397">
        <v>10</v>
      </c>
      <c r="L1397">
        <v>4</v>
      </c>
      <c r="M1397">
        <v>4</v>
      </c>
      <c r="N1397">
        <v>4</v>
      </c>
      <c r="O1397">
        <v>2</v>
      </c>
      <c r="P1397">
        <v>70.400000000000006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C1397">
        <v>70.400000000000006</v>
      </c>
    </row>
    <row r="1398" spans="1:29">
      <c r="A1398">
        <v>1391</v>
      </c>
      <c r="B1398">
        <v>1288</v>
      </c>
      <c r="C1398" t="s">
        <v>3170</v>
      </c>
      <c r="D1398" t="s">
        <v>24</v>
      </c>
      <c r="E1398" t="s">
        <v>18</v>
      </c>
      <c r="F1398" t="s">
        <v>3171</v>
      </c>
      <c r="G1398" t="str">
        <f>"00502471"</f>
        <v>00502471</v>
      </c>
      <c r="H1398">
        <v>30.24</v>
      </c>
      <c r="I1398">
        <v>0</v>
      </c>
      <c r="M1398">
        <v>0</v>
      </c>
      <c r="N1398">
        <v>0</v>
      </c>
      <c r="O1398">
        <v>0</v>
      </c>
      <c r="P1398">
        <v>30.24</v>
      </c>
      <c r="Q1398">
        <v>37</v>
      </c>
      <c r="R1398">
        <v>37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37</v>
      </c>
      <c r="Z1398">
        <v>3</v>
      </c>
      <c r="AA1398">
        <v>0</v>
      </c>
      <c r="AC1398">
        <v>70.239999999999995</v>
      </c>
    </row>
    <row r="1399" spans="1:29">
      <c r="A1399">
        <v>1392</v>
      </c>
      <c r="B1399">
        <v>2952</v>
      </c>
      <c r="C1399" t="s">
        <v>3172</v>
      </c>
      <c r="D1399" t="s">
        <v>3173</v>
      </c>
      <c r="E1399" t="s">
        <v>18</v>
      </c>
      <c r="F1399" t="s">
        <v>3174</v>
      </c>
      <c r="G1399" t="str">
        <f>"00162925"</f>
        <v>00162925</v>
      </c>
      <c r="H1399">
        <v>7.2</v>
      </c>
      <c r="I1399">
        <v>0</v>
      </c>
      <c r="M1399">
        <v>0</v>
      </c>
      <c r="N1399">
        <v>0</v>
      </c>
      <c r="O1399">
        <v>2</v>
      </c>
      <c r="P1399">
        <v>9.1999999999999993</v>
      </c>
      <c r="Q1399">
        <v>52</v>
      </c>
      <c r="R1399">
        <v>52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52</v>
      </c>
      <c r="Z1399">
        <v>9</v>
      </c>
      <c r="AA1399">
        <v>0</v>
      </c>
      <c r="AC1399">
        <v>70.2</v>
      </c>
    </row>
    <row r="1400" spans="1:29">
      <c r="A1400">
        <v>1393</v>
      </c>
      <c r="B1400">
        <v>4047</v>
      </c>
      <c r="C1400" t="s">
        <v>453</v>
      </c>
      <c r="D1400" t="s">
        <v>962</v>
      </c>
      <c r="E1400" t="s">
        <v>227</v>
      </c>
      <c r="F1400" t="s">
        <v>3175</v>
      </c>
      <c r="G1400" t="str">
        <f>"200801001973"</f>
        <v>200801001973</v>
      </c>
      <c r="H1400">
        <v>43.2</v>
      </c>
      <c r="I1400">
        <v>10</v>
      </c>
      <c r="J1400">
        <v>8</v>
      </c>
      <c r="M1400">
        <v>8</v>
      </c>
      <c r="N1400">
        <v>4</v>
      </c>
      <c r="O1400">
        <v>2</v>
      </c>
      <c r="P1400">
        <v>67.2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3</v>
      </c>
      <c r="AA1400">
        <v>0</v>
      </c>
      <c r="AC1400">
        <v>70.2</v>
      </c>
    </row>
    <row r="1401" spans="1:29">
      <c r="A1401">
        <v>1394</v>
      </c>
      <c r="B1401">
        <v>89</v>
      </c>
      <c r="C1401" t="s">
        <v>3176</v>
      </c>
      <c r="D1401" t="s">
        <v>27</v>
      </c>
      <c r="E1401" t="s">
        <v>79</v>
      </c>
      <c r="F1401" t="s">
        <v>3177</v>
      </c>
      <c r="G1401" t="str">
        <f>"200805000468"</f>
        <v>200805000468</v>
      </c>
      <c r="H1401">
        <v>39.200000000000003</v>
      </c>
      <c r="I1401">
        <v>0</v>
      </c>
      <c r="L1401">
        <v>4</v>
      </c>
      <c r="M1401">
        <v>4</v>
      </c>
      <c r="N1401">
        <v>4</v>
      </c>
      <c r="O1401">
        <v>2</v>
      </c>
      <c r="P1401">
        <v>49.2</v>
      </c>
      <c r="Q1401">
        <v>18</v>
      </c>
      <c r="R1401">
        <v>18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18</v>
      </c>
      <c r="Z1401">
        <v>3</v>
      </c>
      <c r="AA1401">
        <v>0</v>
      </c>
      <c r="AC1401">
        <v>70.2</v>
      </c>
    </row>
    <row r="1402" spans="1:29">
      <c r="A1402">
        <v>1395</v>
      </c>
      <c r="B1402">
        <v>67</v>
      </c>
      <c r="C1402" t="s">
        <v>3178</v>
      </c>
      <c r="D1402" t="s">
        <v>159</v>
      </c>
      <c r="E1402" t="s">
        <v>18</v>
      </c>
      <c r="F1402" t="s">
        <v>3179</v>
      </c>
      <c r="G1402" t="str">
        <f>"00441566"</f>
        <v>00441566</v>
      </c>
      <c r="H1402">
        <v>39.200000000000003</v>
      </c>
      <c r="I1402">
        <v>10</v>
      </c>
      <c r="J1402">
        <v>8</v>
      </c>
      <c r="M1402">
        <v>8</v>
      </c>
      <c r="N1402">
        <v>4</v>
      </c>
      <c r="O1402">
        <v>2</v>
      </c>
      <c r="P1402">
        <v>63.2</v>
      </c>
      <c r="Q1402">
        <v>7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7</v>
      </c>
      <c r="Z1402">
        <v>0</v>
      </c>
      <c r="AA1402">
        <v>0</v>
      </c>
      <c r="AC1402">
        <v>70.2</v>
      </c>
    </row>
    <row r="1403" spans="1:29">
      <c r="A1403">
        <v>1396</v>
      </c>
      <c r="B1403">
        <v>202</v>
      </c>
      <c r="C1403" t="s">
        <v>3180</v>
      </c>
      <c r="D1403" t="s">
        <v>159</v>
      </c>
      <c r="E1403" t="s">
        <v>15</v>
      </c>
      <c r="F1403" t="s">
        <v>3181</v>
      </c>
      <c r="G1403" t="str">
        <f>"00497721"</f>
        <v>00497721</v>
      </c>
      <c r="H1403">
        <v>43.2</v>
      </c>
      <c r="I1403">
        <v>0</v>
      </c>
      <c r="J1403">
        <v>8</v>
      </c>
      <c r="M1403">
        <v>8</v>
      </c>
      <c r="N1403">
        <v>4</v>
      </c>
      <c r="O1403">
        <v>2</v>
      </c>
      <c r="P1403">
        <v>57.2</v>
      </c>
      <c r="Q1403">
        <v>13</v>
      </c>
      <c r="R1403">
        <v>13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13</v>
      </c>
      <c r="Z1403">
        <v>0</v>
      </c>
      <c r="AA1403">
        <v>0</v>
      </c>
      <c r="AC1403">
        <v>70.2</v>
      </c>
    </row>
    <row r="1404" spans="1:29">
      <c r="A1404">
        <v>1397</v>
      </c>
      <c r="B1404">
        <v>457</v>
      </c>
      <c r="C1404" t="s">
        <v>178</v>
      </c>
      <c r="D1404" t="s">
        <v>473</v>
      </c>
      <c r="E1404" t="s">
        <v>410</v>
      </c>
      <c r="F1404" t="s">
        <v>3182</v>
      </c>
      <c r="G1404" t="str">
        <f>"200802003677"</f>
        <v>200802003677</v>
      </c>
      <c r="H1404">
        <v>43.2</v>
      </c>
      <c r="I1404">
        <v>0</v>
      </c>
      <c r="L1404">
        <v>4</v>
      </c>
      <c r="M1404">
        <v>4</v>
      </c>
      <c r="N1404">
        <v>4</v>
      </c>
      <c r="O1404">
        <v>0</v>
      </c>
      <c r="P1404">
        <v>51.2</v>
      </c>
      <c r="Q1404">
        <v>19</v>
      </c>
      <c r="R1404">
        <v>19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19</v>
      </c>
      <c r="Z1404">
        <v>0</v>
      </c>
      <c r="AA1404">
        <v>0</v>
      </c>
      <c r="AC1404">
        <v>70.2</v>
      </c>
    </row>
    <row r="1405" spans="1:29">
      <c r="A1405">
        <v>1398</v>
      </c>
      <c r="B1405">
        <v>3764</v>
      </c>
      <c r="C1405" t="s">
        <v>3183</v>
      </c>
      <c r="D1405" t="s">
        <v>185</v>
      </c>
      <c r="E1405" t="s">
        <v>3184</v>
      </c>
      <c r="F1405" t="s">
        <v>3185</v>
      </c>
      <c r="G1405" t="str">
        <f>"00523829"</f>
        <v>00523829</v>
      </c>
      <c r="H1405">
        <v>43.2</v>
      </c>
      <c r="I1405">
        <v>0</v>
      </c>
      <c r="M1405">
        <v>0</v>
      </c>
      <c r="N1405">
        <v>4</v>
      </c>
      <c r="O1405">
        <v>0</v>
      </c>
      <c r="P1405">
        <v>47.2</v>
      </c>
      <c r="Q1405">
        <v>23</v>
      </c>
      <c r="R1405">
        <v>23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23</v>
      </c>
      <c r="Z1405">
        <v>0</v>
      </c>
      <c r="AA1405">
        <v>0</v>
      </c>
      <c r="AC1405">
        <v>70.2</v>
      </c>
    </row>
    <row r="1406" spans="1:29">
      <c r="A1406">
        <v>1399</v>
      </c>
      <c r="B1406">
        <v>4425</v>
      </c>
      <c r="C1406" t="s">
        <v>3186</v>
      </c>
      <c r="D1406" t="s">
        <v>266</v>
      </c>
      <c r="E1406" t="s">
        <v>89</v>
      </c>
      <c r="F1406" t="s">
        <v>3187</v>
      </c>
      <c r="G1406" t="str">
        <f>"00530967"</f>
        <v>00530967</v>
      </c>
      <c r="H1406">
        <v>27.2</v>
      </c>
      <c r="I1406">
        <v>10</v>
      </c>
      <c r="L1406">
        <v>4</v>
      </c>
      <c r="M1406">
        <v>4</v>
      </c>
      <c r="N1406">
        <v>4</v>
      </c>
      <c r="O1406">
        <v>2</v>
      </c>
      <c r="P1406">
        <v>47.2</v>
      </c>
      <c r="Q1406">
        <v>23</v>
      </c>
      <c r="R1406">
        <v>23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23</v>
      </c>
      <c r="Z1406">
        <v>0</v>
      </c>
      <c r="AA1406">
        <v>0</v>
      </c>
      <c r="AC1406">
        <v>70.2</v>
      </c>
    </row>
    <row r="1407" spans="1:29">
      <c r="A1407">
        <v>1400</v>
      </c>
      <c r="B1407">
        <v>753</v>
      </c>
      <c r="C1407" t="s">
        <v>3188</v>
      </c>
      <c r="D1407" t="s">
        <v>39</v>
      </c>
      <c r="E1407" t="s">
        <v>122</v>
      </c>
      <c r="F1407" t="s">
        <v>3189</v>
      </c>
      <c r="G1407" t="str">
        <f>"201511015118"</f>
        <v>201511015118</v>
      </c>
      <c r="H1407">
        <v>10.16</v>
      </c>
      <c r="I1407">
        <v>0</v>
      </c>
      <c r="M1407">
        <v>0</v>
      </c>
      <c r="N1407">
        <v>0</v>
      </c>
      <c r="O1407">
        <v>0</v>
      </c>
      <c r="P1407">
        <v>10.16</v>
      </c>
      <c r="Q1407">
        <v>60</v>
      </c>
      <c r="R1407">
        <v>60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60</v>
      </c>
      <c r="Z1407">
        <v>0</v>
      </c>
      <c r="AA1407">
        <v>0</v>
      </c>
      <c r="AC1407">
        <v>70.16</v>
      </c>
    </row>
    <row r="1408" spans="1:29">
      <c r="A1408">
        <v>1401</v>
      </c>
      <c r="B1408">
        <v>4180</v>
      </c>
      <c r="C1408" t="s">
        <v>3190</v>
      </c>
      <c r="D1408" t="s">
        <v>164</v>
      </c>
      <c r="E1408" t="s">
        <v>18</v>
      </c>
      <c r="F1408" t="s">
        <v>3191</v>
      </c>
      <c r="G1408" t="str">
        <f>"00278530"</f>
        <v>00278530</v>
      </c>
      <c r="H1408">
        <v>36</v>
      </c>
      <c r="I1408">
        <v>0</v>
      </c>
      <c r="L1408">
        <v>4</v>
      </c>
      <c r="M1408">
        <v>4</v>
      </c>
      <c r="N1408">
        <v>4</v>
      </c>
      <c r="O1408">
        <v>2</v>
      </c>
      <c r="P1408">
        <v>46</v>
      </c>
      <c r="Q1408">
        <v>18</v>
      </c>
      <c r="R1408">
        <v>18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18</v>
      </c>
      <c r="Z1408">
        <v>6</v>
      </c>
      <c r="AA1408">
        <v>0</v>
      </c>
      <c r="AC1408">
        <v>70</v>
      </c>
    </row>
    <row r="1409" spans="1:29">
      <c r="A1409">
        <v>1402</v>
      </c>
      <c r="B1409">
        <v>131</v>
      </c>
      <c r="C1409" t="s">
        <v>3192</v>
      </c>
      <c r="D1409" t="s">
        <v>3193</v>
      </c>
      <c r="E1409" t="s">
        <v>156</v>
      </c>
      <c r="F1409" t="s">
        <v>3194</v>
      </c>
      <c r="G1409" t="str">
        <f>"00499232"</f>
        <v>00499232</v>
      </c>
      <c r="H1409">
        <v>40</v>
      </c>
      <c r="I1409">
        <v>0</v>
      </c>
      <c r="J1409">
        <v>8</v>
      </c>
      <c r="M1409">
        <v>8</v>
      </c>
      <c r="N1409">
        <v>4</v>
      </c>
      <c r="O1409">
        <v>2</v>
      </c>
      <c r="P1409">
        <v>54</v>
      </c>
      <c r="Q1409">
        <v>13</v>
      </c>
      <c r="R1409">
        <v>13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13</v>
      </c>
      <c r="Z1409">
        <v>3</v>
      </c>
      <c r="AA1409">
        <v>0</v>
      </c>
      <c r="AB1409" t="s">
        <v>128</v>
      </c>
      <c r="AC1409">
        <v>70</v>
      </c>
    </row>
    <row r="1410" spans="1:29">
      <c r="A1410">
        <v>1403</v>
      </c>
      <c r="B1410">
        <v>1314</v>
      </c>
      <c r="C1410" t="s">
        <v>91</v>
      </c>
      <c r="D1410" t="s">
        <v>31</v>
      </c>
      <c r="E1410" t="s">
        <v>66</v>
      </c>
      <c r="F1410" t="s">
        <v>3195</v>
      </c>
      <c r="G1410" t="str">
        <f>"00479614"</f>
        <v>00479614</v>
      </c>
      <c r="H1410">
        <v>25.88</v>
      </c>
      <c r="I1410">
        <v>0</v>
      </c>
      <c r="M1410">
        <v>0</v>
      </c>
      <c r="N1410">
        <v>0</v>
      </c>
      <c r="O1410">
        <v>0</v>
      </c>
      <c r="P1410">
        <v>25.88</v>
      </c>
      <c r="Q1410">
        <v>44</v>
      </c>
      <c r="R1410">
        <v>44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44</v>
      </c>
      <c r="Z1410">
        <v>0</v>
      </c>
      <c r="AA1410">
        <v>0</v>
      </c>
      <c r="AC1410">
        <v>69.88</v>
      </c>
    </row>
    <row r="1411" spans="1:29">
      <c r="A1411">
        <v>1404</v>
      </c>
      <c r="B1411">
        <v>4328</v>
      </c>
      <c r="C1411" t="s">
        <v>3196</v>
      </c>
      <c r="D1411" t="s">
        <v>27</v>
      </c>
      <c r="E1411" t="s">
        <v>18</v>
      </c>
      <c r="F1411" t="s">
        <v>3197</v>
      </c>
      <c r="G1411" t="str">
        <f>"00265073"</f>
        <v>00265073</v>
      </c>
      <c r="H1411">
        <v>28.8</v>
      </c>
      <c r="I1411">
        <v>0</v>
      </c>
      <c r="J1411">
        <v>8</v>
      </c>
      <c r="M1411">
        <v>8</v>
      </c>
      <c r="N1411">
        <v>4</v>
      </c>
      <c r="O1411">
        <v>0</v>
      </c>
      <c r="P1411">
        <v>40.799999999999997</v>
      </c>
      <c r="Q1411">
        <v>26</v>
      </c>
      <c r="R1411">
        <v>26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26</v>
      </c>
      <c r="Z1411">
        <v>3</v>
      </c>
      <c r="AA1411">
        <v>0</v>
      </c>
      <c r="AC1411">
        <v>69.8</v>
      </c>
    </row>
    <row r="1412" spans="1:29">
      <c r="A1412">
        <v>1405</v>
      </c>
      <c r="B1412">
        <v>1836</v>
      </c>
      <c r="C1412" t="s">
        <v>1127</v>
      </c>
      <c r="D1412" t="s">
        <v>113</v>
      </c>
      <c r="E1412" t="s">
        <v>12</v>
      </c>
      <c r="F1412" t="s">
        <v>3198</v>
      </c>
      <c r="G1412" t="str">
        <f>"00519805"</f>
        <v>00519805</v>
      </c>
      <c r="H1412">
        <v>34.799999999999997</v>
      </c>
      <c r="I1412">
        <v>0</v>
      </c>
      <c r="M1412">
        <v>0</v>
      </c>
      <c r="N1412">
        <v>4</v>
      </c>
      <c r="O1412">
        <v>2</v>
      </c>
      <c r="P1412">
        <v>40.799999999999997</v>
      </c>
      <c r="Q1412">
        <v>29</v>
      </c>
      <c r="R1412">
        <v>29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29</v>
      </c>
      <c r="Z1412">
        <v>0</v>
      </c>
      <c r="AA1412">
        <v>0</v>
      </c>
      <c r="AC1412">
        <v>69.8</v>
      </c>
    </row>
    <row r="1413" spans="1:29">
      <c r="A1413">
        <v>1406</v>
      </c>
      <c r="B1413">
        <v>3892</v>
      </c>
      <c r="C1413" t="s">
        <v>3199</v>
      </c>
      <c r="D1413" t="s">
        <v>31</v>
      </c>
      <c r="E1413" t="s">
        <v>410</v>
      </c>
      <c r="F1413" t="s">
        <v>3200</v>
      </c>
      <c r="G1413" t="str">
        <f>"00662109"</f>
        <v>00662109</v>
      </c>
      <c r="H1413">
        <v>57.6</v>
      </c>
      <c r="I1413">
        <v>0</v>
      </c>
      <c r="L1413">
        <v>4</v>
      </c>
      <c r="M1413">
        <v>4</v>
      </c>
      <c r="N1413">
        <v>0</v>
      </c>
      <c r="O1413">
        <v>2</v>
      </c>
      <c r="P1413">
        <v>63.6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6</v>
      </c>
      <c r="AA1413">
        <v>0</v>
      </c>
      <c r="AC1413">
        <v>69.599999999999994</v>
      </c>
    </row>
    <row r="1414" spans="1:29">
      <c r="A1414">
        <v>1407</v>
      </c>
      <c r="B1414">
        <v>4473</v>
      </c>
      <c r="C1414" t="s">
        <v>3111</v>
      </c>
      <c r="D1414" t="s">
        <v>3204</v>
      </c>
      <c r="E1414" t="s">
        <v>36</v>
      </c>
      <c r="F1414" t="s">
        <v>3205</v>
      </c>
      <c r="G1414" t="str">
        <f>"00858265"</f>
        <v>00858265</v>
      </c>
      <c r="H1414">
        <v>57.6</v>
      </c>
      <c r="I1414">
        <v>0</v>
      </c>
      <c r="J1414">
        <v>8</v>
      </c>
      <c r="M1414">
        <v>8</v>
      </c>
      <c r="N1414">
        <v>4</v>
      </c>
      <c r="O1414">
        <v>0</v>
      </c>
      <c r="P1414">
        <v>69.599999999999994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C1414">
        <v>69.599999999999994</v>
      </c>
    </row>
    <row r="1415" spans="1:29">
      <c r="A1415">
        <v>1408</v>
      </c>
      <c r="B1415">
        <v>1902</v>
      </c>
      <c r="C1415" t="s">
        <v>3202</v>
      </c>
      <c r="D1415" t="s">
        <v>554</v>
      </c>
      <c r="E1415" t="s">
        <v>36</v>
      </c>
      <c r="F1415" t="s">
        <v>3203</v>
      </c>
      <c r="G1415" t="str">
        <f>"00295151"</f>
        <v>00295151</v>
      </c>
      <c r="H1415">
        <v>57.6</v>
      </c>
      <c r="I1415">
        <v>0</v>
      </c>
      <c r="J1415">
        <v>8</v>
      </c>
      <c r="M1415">
        <v>8</v>
      </c>
      <c r="N1415">
        <v>4</v>
      </c>
      <c r="O1415">
        <v>0</v>
      </c>
      <c r="P1415">
        <v>69.599999999999994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C1415">
        <v>69.599999999999994</v>
      </c>
    </row>
    <row r="1416" spans="1:29">
      <c r="A1416">
        <v>1409</v>
      </c>
      <c r="B1416">
        <v>4142</v>
      </c>
      <c r="C1416" t="s">
        <v>3207</v>
      </c>
      <c r="D1416" t="s">
        <v>279</v>
      </c>
      <c r="E1416" t="s">
        <v>337</v>
      </c>
      <c r="F1416" t="s">
        <v>3208</v>
      </c>
      <c r="G1416" t="str">
        <f>"00839923"</f>
        <v>00839923</v>
      </c>
      <c r="H1416">
        <v>57.6</v>
      </c>
      <c r="I1416">
        <v>0</v>
      </c>
      <c r="J1416">
        <v>8</v>
      </c>
      <c r="M1416">
        <v>8</v>
      </c>
      <c r="N1416">
        <v>4</v>
      </c>
      <c r="O1416">
        <v>0</v>
      </c>
      <c r="P1416">
        <v>69.599999999999994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C1416">
        <v>69.599999999999994</v>
      </c>
    </row>
    <row r="1417" spans="1:29">
      <c r="A1417">
        <v>1410</v>
      </c>
      <c r="B1417">
        <v>2599</v>
      </c>
      <c r="C1417" t="s">
        <v>2878</v>
      </c>
      <c r="D1417" t="s">
        <v>55</v>
      </c>
      <c r="E1417" t="s">
        <v>337</v>
      </c>
      <c r="F1417" t="s">
        <v>3201</v>
      </c>
      <c r="G1417" t="str">
        <f>"00160367"</f>
        <v>00160367</v>
      </c>
      <c r="H1417">
        <v>57.6</v>
      </c>
      <c r="I1417">
        <v>0</v>
      </c>
      <c r="K1417">
        <v>6</v>
      </c>
      <c r="M1417">
        <v>6</v>
      </c>
      <c r="N1417">
        <v>4</v>
      </c>
      <c r="O1417">
        <v>2</v>
      </c>
      <c r="P1417">
        <v>69.599999999999994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0</v>
      </c>
      <c r="AC1417">
        <v>69.599999999999994</v>
      </c>
    </row>
    <row r="1418" spans="1:29">
      <c r="A1418">
        <v>1411</v>
      </c>
      <c r="B1418">
        <v>4752</v>
      </c>
      <c r="C1418" t="s">
        <v>2137</v>
      </c>
      <c r="D1418" t="s">
        <v>27</v>
      </c>
      <c r="E1418" t="s">
        <v>28</v>
      </c>
      <c r="F1418" t="s">
        <v>3206</v>
      </c>
      <c r="G1418" t="str">
        <f>"00570098"</f>
        <v>00570098</v>
      </c>
      <c r="H1418">
        <v>57.6</v>
      </c>
      <c r="I1418">
        <v>0</v>
      </c>
      <c r="L1418">
        <v>8</v>
      </c>
      <c r="M1418">
        <v>8</v>
      </c>
      <c r="N1418">
        <v>4</v>
      </c>
      <c r="O1418">
        <v>0</v>
      </c>
      <c r="P1418">
        <v>69.599999999999994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  <c r="AC1418">
        <v>69.599999999999994</v>
      </c>
    </row>
    <row r="1419" spans="1:29">
      <c r="A1419">
        <v>1412</v>
      </c>
      <c r="B1419">
        <v>2592</v>
      </c>
      <c r="C1419" t="s">
        <v>3209</v>
      </c>
      <c r="D1419" t="s">
        <v>164</v>
      </c>
      <c r="E1419" t="s">
        <v>66</v>
      </c>
      <c r="F1419" t="s">
        <v>3210</v>
      </c>
      <c r="G1419" t="str">
        <f>"00531531"</f>
        <v>00531531</v>
      </c>
      <c r="H1419">
        <v>35.56</v>
      </c>
      <c r="I1419">
        <v>0</v>
      </c>
      <c r="J1419">
        <v>8</v>
      </c>
      <c r="M1419">
        <v>8</v>
      </c>
      <c r="N1419">
        <v>4</v>
      </c>
      <c r="O1419">
        <v>2</v>
      </c>
      <c r="P1419">
        <v>49.56</v>
      </c>
      <c r="Q1419">
        <v>14</v>
      </c>
      <c r="R1419">
        <v>14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14</v>
      </c>
      <c r="Z1419">
        <v>6</v>
      </c>
      <c r="AA1419">
        <v>0</v>
      </c>
      <c r="AC1419">
        <v>69.56</v>
      </c>
    </row>
    <row r="1420" spans="1:29">
      <c r="A1420">
        <v>1413</v>
      </c>
      <c r="B1420">
        <v>4587</v>
      </c>
      <c r="C1420" t="s">
        <v>3211</v>
      </c>
      <c r="D1420" t="s">
        <v>216</v>
      </c>
      <c r="E1420" t="s">
        <v>53</v>
      </c>
      <c r="F1420" t="s">
        <v>3212</v>
      </c>
      <c r="G1420" t="str">
        <f>"00529872"</f>
        <v>00529872</v>
      </c>
      <c r="H1420">
        <v>34.479999999999997</v>
      </c>
      <c r="I1420">
        <v>0</v>
      </c>
      <c r="J1420">
        <v>8</v>
      </c>
      <c r="M1420">
        <v>8</v>
      </c>
      <c r="N1420">
        <v>4</v>
      </c>
      <c r="O1420">
        <v>2</v>
      </c>
      <c r="P1420">
        <v>48.48</v>
      </c>
      <c r="Q1420">
        <v>9</v>
      </c>
      <c r="R1420">
        <v>9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9</v>
      </c>
      <c r="Z1420">
        <v>12</v>
      </c>
      <c r="AA1420">
        <v>0</v>
      </c>
      <c r="AC1420">
        <v>69.48</v>
      </c>
    </row>
    <row r="1421" spans="1:29">
      <c r="A1421">
        <v>1414</v>
      </c>
      <c r="B1421">
        <v>1050</v>
      </c>
      <c r="C1421" t="s">
        <v>3213</v>
      </c>
      <c r="D1421" t="s">
        <v>3214</v>
      </c>
      <c r="E1421" t="s">
        <v>134</v>
      </c>
      <c r="F1421" t="s">
        <v>3215</v>
      </c>
      <c r="G1421" t="str">
        <f>"00530801"</f>
        <v>00530801</v>
      </c>
      <c r="H1421">
        <v>50.4</v>
      </c>
      <c r="I1421">
        <v>10</v>
      </c>
      <c r="M1421">
        <v>0</v>
      </c>
      <c r="N1421">
        <v>4</v>
      </c>
      <c r="O1421">
        <v>2</v>
      </c>
      <c r="P1421">
        <v>66.400000000000006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3</v>
      </c>
      <c r="AA1421">
        <v>0</v>
      </c>
      <c r="AC1421">
        <v>69.400000000000006</v>
      </c>
    </row>
    <row r="1422" spans="1:29">
      <c r="A1422">
        <v>1415</v>
      </c>
      <c r="B1422">
        <v>656</v>
      </c>
      <c r="C1422" t="s">
        <v>3216</v>
      </c>
      <c r="D1422" t="s">
        <v>1816</v>
      </c>
      <c r="E1422" t="s">
        <v>18</v>
      </c>
      <c r="F1422" t="s">
        <v>3217</v>
      </c>
      <c r="G1422" t="str">
        <f>"00150050"</f>
        <v>00150050</v>
      </c>
      <c r="H1422">
        <v>43.2</v>
      </c>
      <c r="I1422">
        <v>0</v>
      </c>
      <c r="J1422">
        <v>8</v>
      </c>
      <c r="L1422">
        <v>4</v>
      </c>
      <c r="M1422">
        <v>12</v>
      </c>
      <c r="N1422">
        <v>4</v>
      </c>
      <c r="O1422">
        <v>2</v>
      </c>
      <c r="P1422">
        <v>61.2</v>
      </c>
      <c r="Q1422">
        <v>5</v>
      </c>
      <c r="R1422">
        <v>5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5</v>
      </c>
      <c r="Z1422">
        <v>3</v>
      </c>
      <c r="AA1422">
        <v>0</v>
      </c>
      <c r="AC1422">
        <v>69.2</v>
      </c>
    </row>
    <row r="1423" spans="1:29">
      <c r="A1423">
        <v>1416</v>
      </c>
      <c r="B1423">
        <v>768</v>
      </c>
      <c r="C1423" t="s">
        <v>3218</v>
      </c>
      <c r="D1423" t="s">
        <v>52</v>
      </c>
      <c r="E1423" t="s">
        <v>66</v>
      </c>
      <c r="F1423" t="s">
        <v>3219</v>
      </c>
      <c r="G1423" t="str">
        <f>"00053755"</f>
        <v>00053755</v>
      </c>
      <c r="H1423">
        <v>43.2</v>
      </c>
      <c r="I1423">
        <v>0</v>
      </c>
      <c r="L1423">
        <v>4</v>
      </c>
      <c r="M1423">
        <v>4</v>
      </c>
      <c r="N1423">
        <v>4</v>
      </c>
      <c r="O1423">
        <v>2</v>
      </c>
      <c r="P1423">
        <v>53.2</v>
      </c>
      <c r="Q1423">
        <v>16</v>
      </c>
      <c r="R1423">
        <v>16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16</v>
      </c>
      <c r="Z1423">
        <v>0</v>
      </c>
      <c r="AA1423">
        <v>0</v>
      </c>
      <c r="AC1423">
        <v>69.2</v>
      </c>
    </row>
    <row r="1424" spans="1:29">
      <c r="A1424">
        <v>1417</v>
      </c>
      <c r="B1424">
        <v>3519</v>
      </c>
      <c r="C1424" t="s">
        <v>3220</v>
      </c>
      <c r="D1424" t="s">
        <v>185</v>
      </c>
      <c r="E1424" t="s">
        <v>18</v>
      </c>
      <c r="F1424" t="s">
        <v>3221</v>
      </c>
      <c r="G1424" t="str">
        <f>"00534349"</f>
        <v>00534349</v>
      </c>
      <c r="H1424">
        <v>7.2</v>
      </c>
      <c r="I1424">
        <v>0</v>
      </c>
      <c r="L1424">
        <v>4</v>
      </c>
      <c r="M1424">
        <v>4</v>
      </c>
      <c r="N1424">
        <v>4</v>
      </c>
      <c r="O1424">
        <v>2</v>
      </c>
      <c r="P1424">
        <v>17.2</v>
      </c>
      <c r="Q1424">
        <v>52</v>
      </c>
      <c r="R1424">
        <v>52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52</v>
      </c>
      <c r="Z1424">
        <v>0</v>
      </c>
      <c r="AA1424">
        <v>0</v>
      </c>
      <c r="AC1424">
        <v>69.2</v>
      </c>
    </row>
    <row r="1425" spans="1:29">
      <c r="A1425">
        <v>1418</v>
      </c>
      <c r="B1425">
        <v>2289</v>
      </c>
      <c r="C1425" t="s">
        <v>3222</v>
      </c>
      <c r="D1425" t="s">
        <v>784</v>
      </c>
      <c r="E1425" t="s">
        <v>322</v>
      </c>
      <c r="F1425" t="s">
        <v>3223</v>
      </c>
      <c r="G1425" t="str">
        <f>"00202089"</f>
        <v>00202089</v>
      </c>
      <c r="H1425">
        <v>21.16</v>
      </c>
      <c r="I1425">
        <v>0</v>
      </c>
      <c r="M1425">
        <v>0</v>
      </c>
      <c r="N1425">
        <v>4</v>
      </c>
      <c r="O1425">
        <v>2</v>
      </c>
      <c r="P1425">
        <v>27.16</v>
      </c>
      <c r="Q1425">
        <v>33</v>
      </c>
      <c r="R1425">
        <v>33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33</v>
      </c>
      <c r="Z1425">
        <v>9</v>
      </c>
      <c r="AA1425">
        <v>0</v>
      </c>
      <c r="AC1425">
        <v>69.16</v>
      </c>
    </row>
    <row r="1426" spans="1:29">
      <c r="A1426">
        <v>1419</v>
      </c>
      <c r="B1426">
        <v>4090</v>
      </c>
      <c r="C1426" t="s">
        <v>3224</v>
      </c>
      <c r="D1426" t="s">
        <v>279</v>
      </c>
      <c r="E1426" t="s">
        <v>1272</v>
      </c>
      <c r="F1426" t="s">
        <v>3225</v>
      </c>
      <c r="G1426" t="str">
        <f>"00208270"</f>
        <v>00208270</v>
      </c>
      <c r="H1426">
        <v>29.16</v>
      </c>
      <c r="I1426">
        <v>10</v>
      </c>
      <c r="L1426">
        <v>4</v>
      </c>
      <c r="M1426">
        <v>4</v>
      </c>
      <c r="N1426">
        <v>4</v>
      </c>
      <c r="O1426">
        <v>2</v>
      </c>
      <c r="P1426">
        <v>49.16</v>
      </c>
      <c r="Q1426">
        <v>14</v>
      </c>
      <c r="R1426">
        <v>14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14</v>
      </c>
      <c r="Z1426">
        <v>6</v>
      </c>
      <c r="AA1426">
        <v>0</v>
      </c>
      <c r="AC1426">
        <v>69.16</v>
      </c>
    </row>
    <row r="1427" spans="1:29">
      <c r="A1427">
        <v>1420</v>
      </c>
      <c r="B1427">
        <v>3093</v>
      </c>
      <c r="C1427" t="s">
        <v>3226</v>
      </c>
      <c r="D1427" t="s">
        <v>569</v>
      </c>
      <c r="E1427" t="s">
        <v>15</v>
      </c>
      <c r="F1427" t="s">
        <v>3227</v>
      </c>
      <c r="G1427" t="str">
        <f>"00441773"</f>
        <v>00441773</v>
      </c>
      <c r="H1427">
        <v>20</v>
      </c>
      <c r="I1427">
        <v>10</v>
      </c>
      <c r="M1427">
        <v>0</v>
      </c>
      <c r="N1427">
        <v>4</v>
      </c>
      <c r="O1427">
        <v>2</v>
      </c>
      <c r="P1427">
        <v>36</v>
      </c>
      <c r="Q1427">
        <v>27</v>
      </c>
      <c r="R1427">
        <v>27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27</v>
      </c>
      <c r="Z1427">
        <v>6</v>
      </c>
      <c r="AA1427">
        <v>0</v>
      </c>
      <c r="AC1427">
        <v>69</v>
      </c>
    </row>
    <row r="1428" spans="1:29">
      <c r="A1428">
        <v>1421</v>
      </c>
      <c r="B1428">
        <v>885</v>
      </c>
      <c r="C1428" t="s">
        <v>3228</v>
      </c>
      <c r="D1428" t="s">
        <v>27</v>
      </c>
      <c r="E1428" t="s">
        <v>237</v>
      </c>
      <c r="F1428" t="s">
        <v>3229</v>
      </c>
      <c r="G1428" t="str">
        <f>"201507001121"</f>
        <v>201507001121</v>
      </c>
      <c r="H1428">
        <v>36</v>
      </c>
      <c r="I1428">
        <v>0</v>
      </c>
      <c r="J1428">
        <v>8</v>
      </c>
      <c r="M1428">
        <v>8</v>
      </c>
      <c r="N1428">
        <v>4</v>
      </c>
      <c r="O1428">
        <v>0</v>
      </c>
      <c r="P1428">
        <v>48</v>
      </c>
      <c r="Q1428">
        <v>18</v>
      </c>
      <c r="R1428">
        <v>18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18</v>
      </c>
      <c r="Z1428">
        <v>3</v>
      </c>
      <c r="AA1428">
        <v>0</v>
      </c>
      <c r="AC1428">
        <v>69</v>
      </c>
    </row>
    <row r="1429" spans="1:29">
      <c r="A1429">
        <v>1422</v>
      </c>
      <c r="B1429">
        <v>3107</v>
      </c>
      <c r="C1429" t="s">
        <v>3230</v>
      </c>
      <c r="D1429" t="s">
        <v>433</v>
      </c>
      <c r="E1429" t="s">
        <v>15</v>
      </c>
      <c r="F1429" t="s">
        <v>3231</v>
      </c>
      <c r="G1429" t="str">
        <f>"00528489"</f>
        <v>00528489</v>
      </c>
      <c r="H1429">
        <v>34</v>
      </c>
      <c r="I1429">
        <v>10</v>
      </c>
      <c r="M1429">
        <v>0</v>
      </c>
      <c r="N1429">
        <v>4</v>
      </c>
      <c r="O1429">
        <v>0</v>
      </c>
      <c r="P1429">
        <v>48</v>
      </c>
      <c r="Q1429">
        <v>18</v>
      </c>
      <c r="R1429">
        <v>18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18</v>
      </c>
      <c r="Z1429">
        <v>3</v>
      </c>
      <c r="AA1429">
        <v>0</v>
      </c>
      <c r="AC1429">
        <v>69</v>
      </c>
    </row>
    <row r="1430" spans="1:29">
      <c r="A1430">
        <v>1423</v>
      </c>
      <c r="B1430">
        <v>3438</v>
      </c>
      <c r="C1430" t="s">
        <v>3232</v>
      </c>
      <c r="D1430" t="s">
        <v>3233</v>
      </c>
      <c r="E1430" t="s">
        <v>60</v>
      </c>
      <c r="F1430" t="s">
        <v>3234</v>
      </c>
      <c r="G1430" t="str">
        <f>"00504531"</f>
        <v>00504531</v>
      </c>
      <c r="H1430">
        <v>32</v>
      </c>
      <c r="I1430">
        <v>10</v>
      </c>
      <c r="M1430">
        <v>0</v>
      </c>
      <c r="N1430">
        <v>4</v>
      </c>
      <c r="O1430">
        <v>2</v>
      </c>
      <c r="P1430">
        <v>48</v>
      </c>
      <c r="Q1430">
        <v>18</v>
      </c>
      <c r="R1430">
        <v>18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18</v>
      </c>
      <c r="Z1430">
        <v>3</v>
      </c>
      <c r="AA1430">
        <v>0</v>
      </c>
      <c r="AC1430">
        <v>69</v>
      </c>
    </row>
    <row r="1431" spans="1:29">
      <c r="A1431">
        <v>1424</v>
      </c>
      <c r="B1431">
        <v>730</v>
      </c>
      <c r="C1431" t="s">
        <v>3235</v>
      </c>
      <c r="D1431" t="s">
        <v>205</v>
      </c>
      <c r="E1431" t="s">
        <v>3236</v>
      </c>
      <c r="F1431" t="s">
        <v>3237</v>
      </c>
      <c r="G1431" t="str">
        <f>"00515798"</f>
        <v>00515798</v>
      </c>
      <c r="H1431">
        <v>36</v>
      </c>
      <c r="I1431">
        <v>0</v>
      </c>
      <c r="L1431">
        <v>4</v>
      </c>
      <c r="M1431">
        <v>4</v>
      </c>
      <c r="N1431">
        <v>4</v>
      </c>
      <c r="O1431">
        <v>2</v>
      </c>
      <c r="P1431">
        <v>46</v>
      </c>
      <c r="Q1431">
        <v>20</v>
      </c>
      <c r="R1431">
        <v>20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20</v>
      </c>
      <c r="Z1431">
        <v>3</v>
      </c>
      <c r="AA1431">
        <v>0</v>
      </c>
      <c r="AC1431">
        <v>69</v>
      </c>
    </row>
    <row r="1432" spans="1:29">
      <c r="A1432">
        <v>1425</v>
      </c>
      <c r="B1432">
        <v>3735</v>
      </c>
      <c r="C1432" t="s">
        <v>3238</v>
      </c>
      <c r="D1432" t="s">
        <v>784</v>
      </c>
      <c r="E1432" t="s">
        <v>533</v>
      </c>
      <c r="F1432" t="s">
        <v>3239</v>
      </c>
      <c r="G1432" t="str">
        <f>"00509476"</f>
        <v>00509476</v>
      </c>
      <c r="H1432">
        <v>36</v>
      </c>
      <c r="I1432">
        <v>0</v>
      </c>
      <c r="M1432">
        <v>0</v>
      </c>
      <c r="N1432">
        <v>0</v>
      </c>
      <c r="O1432">
        <v>0</v>
      </c>
      <c r="P1432">
        <v>36</v>
      </c>
      <c r="Q1432">
        <v>30</v>
      </c>
      <c r="R1432">
        <v>30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30</v>
      </c>
      <c r="Z1432">
        <v>3</v>
      </c>
      <c r="AA1432">
        <v>0</v>
      </c>
      <c r="AC1432">
        <v>69</v>
      </c>
    </row>
    <row r="1433" spans="1:29">
      <c r="A1433">
        <v>1426</v>
      </c>
      <c r="B1433">
        <v>4140</v>
      </c>
      <c r="C1433" t="s">
        <v>3240</v>
      </c>
      <c r="D1433" t="s">
        <v>164</v>
      </c>
      <c r="E1433" t="s">
        <v>79</v>
      </c>
      <c r="F1433" t="s">
        <v>3241</v>
      </c>
      <c r="G1433" t="str">
        <f>"00530560"</f>
        <v>00530560</v>
      </c>
      <c r="H1433">
        <v>0</v>
      </c>
      <c r="I1433">
        <v>0</v>
      </c>
      <c r="J1433">
        <v>8</v>
      </c>
      <c r="M1433">
        <v>8</v>
      </c>
      <c r="N1433">
        <v>4</v>
      </c>
      <c r="O1433">
        <v>0</v>
      </c>
      <c r="P1433">
        <v>12</v>
      </c>
      <c r="Q1433">
        <v>54</v>
      </c>
      <c r="R1433">
        <v>54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54</v>
      </c>
      <c r="Z1433">
        <v>3</v>
      </c>
      <c r="AA1433">
        <v>0</v>
      </c>
      <c r="AC1433">
        <v>69</v>
      </c>
    </row>
    <row r="1434" spans="1:29">
      <c r="A1434">
        <v>1427</v>
      </c>
      <c r="B1434">
        <v>3291</v>
      </c>
      <c r="C1434" t="s">
        <v>3242</v>
      </c>
      <c r="D1434" t="s">
        <v>448</v>
      </c>
      <c r="E1434" t="s">
        <v>165</v>
      </c>
      <c r="F1434" t="s">
        <v>3243</v>
      </c>
      <c r="G1434" t="str">
        <f>"00525585"</f>
        <v>00525585</v>
      </c>
      <c r="H1434">
        <v>36</v>
      </c>
      <c r="I1434">
        <v>0</v>
      </c>
      <c r="L1434">
        <v>4</v>
      </c>
      <c r="M1434">
        <v>4</v>
      </c>
      <c r="N1434">
        <v>0</v>
      </c>
      <c r="O1434">
        <v>0</v>
      </c>
      <c r="P1434">
        <v>40</v>
      </c>
      <c r="Q1434">
        <v>29</v>
      </c>
      <c r="R1434">
        <v>29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29</v>
      </c>
      <c r="Z1434">
        <v>0</v>
      </c>
      <c r="AA1434">
        <v>0</v>
      </c>
      <c r="AC1434">
        <v>69</v>
      </c>
    </row>
    <row r="1435" spans="1:29">
      <c r="A1435">
        <v>1428</v>
      </c>
      <c r="B1435">
        <v>144</v>
      </c>
      <c r="C1435" t="s">
        <v>3244</v>
      </c>
      <c r="D1435" t="s">
        <v>164</v>
      </c>
      <c r="E1435" t="s">
        <v>18</v>
      </c>
      <c r="F1435" t="s">
        <v>3245</v>
      </c>
      <c r="G1435" t="str">
        <f>"00510768"</f>
        <v>00510768</v>
      </c>
      <c r="H1435">
        <v>20.92</v>
      </c>
      <c r="I1435">
        <v>0</v>
      </c>
      <c r="M1435">
        <v>0</v>
      </c>
      <c r="N1435">
        <v>4</v>
      </c>
      <c r="O1435">
        <v>2</v>
      </c>
      <c r="P1435">
        <v>26.92</v>
      </c>
      <c r="Q1435">
        <v>36</v>
      </c>
      <c r="R1435">
        <v>36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36</v>
      </c>
      <c r="Z1435">
        <v>6</v>
      </c>
      <c r="AA1435">
        <v>0</v>
      </c>
      <c r="AC1435">
        <v>68.92</v>
      </c>
    </row>
    <row r="1436" spans="1:29">
      <c r="A1436">
        <v>1429</v>
      </c>
      <c r="B1436">
        <v>2866</v>
      </c>
      <c r="C1436" t="s">
        <v>3246</v>
      </c>
      <c r="D1436" t="s">
        <v>3247</v>
      </c>
      <c r="E1436" t="s">
        <v>3248</v>
      </c>
      <c r="F1436" t="s">
        <v>3249</v>
      </c>
      <c r="G1436" t="str">
        <f>"00527787"</f>
        <v>00527787</v>
      </c>
      <c r="H1436">
        <v>28.8</v>
      </c>
      <c r="I1436">
        <v>0</v>
      </c>
      <c r="L1436">
        <v>4</v>
      </c>
      <c r="M1436">
        <v>4</v>
      </c>
      <c r="N1436">
        <v>0</v>
      </c>
      <c r="O1436">
        <v>0</v>
      </c>
      <c r="P1436">
        <v>32.799999999999997</v>
      </c>
      <c r="Q1436">
        <v>27</v>
      </c>
      <c r="R1436">
        <v>27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27</v>
      </c>
      <c r="Z1436">
        <v>9</v>
      </c>
      <c r="AA1436">
        <v>0</v>
      </c>
      <c r="AC1436">
        <v>68.8</v>
      </c>
    </row>
    <row r="1437" spans="1:29">
      <c r="A1437">
        <v>1430</v>
      </c>
      <c r="B1437">
        <v>2939</v>
      </c>
      <c r="C1437" t="s">
        <v>3250</v>
      </c>
      <c r="D1437" t="s">
        <v>52</v>
      </c>
      <c r="E1437" t="s">
        <v>387</v>
      </c>
      <c r="F1437" t="s">
        <v>3251</v>
      </c>
      <c r="G1437" t="str">
        <f>"00152208"</f>
        <v>00152208</v>
      </c>
      <c r="H1437">
        <v>28.8</v>
      </c>
      <c r="I1437">
        <v>10</v>
      </c>
      <c r="M1437">
        <v>0</v>
      </c>
      <c r="N1437">
        <v>4</v>
      </c>
      <c r="O1437">
        <v>2</v>
      </c>
      <c r="P1437">
        <v>44.8</v>
      </c>
      <c r="Q1437">
        <v>18</v>
      </c>
      <c r="R1437">
        <v>18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18</v>
      </c>
      <c r="Z1437">
        <v>6</v>
      </c>
      <c r="AA1437">
        <v>0</v>
      </c>
      <c r="AC1437">
        <v>68.8</v>
      </c>
    </row>
    <row r="1438" spans="1:29">
      <c r="A1438">
        <v>1431</v>
      </c>
      <c r="B1438">
        <v>864</v>
      </c>
      <c r="C1438" t="s">
        <v>3256</v>
      </c>
      <c r="D1438" t="s">
        <v>1695</v>
      </c>
      <c r="E1438" t="s">
        <v>115</v>
      </c>
      <c r="F1438" t="s">
        <v>3257</v>
      </c>
      <c r="G1438" t="str">
        <f>"00858106"</f>
        <v>00858106</v>
      </c>
      <c r="H1438">
        <v>64.8</v>
      </c>
      <c r="I1438">
        <v>0</v>
      </c>
      <c r="M1438">
        <v>0</v>
      </c>
      <c r="N1438">
        <v>4</v>
      </c>
      <c r="O1438">
        <v>0</v>
      </c>
      <c r="P1438">
        <v>68.8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C1438">
        <v>68.8</v>
      </c>
    </row>
    <row r="1439" spans="1:29">
      <c r="A1439">
        <v>1432</v>
      </c>
      <c r="B1439">
        <v>2489</v>
      </c>
      <c r="C1439" t="s">
        <v>3258</v>
      </c>
      <c r="D1439" t="s">
        <v>3259</v>
      </c>
      <c r="E1439" t="s">
        <v>18</v>
      </c>
      <c r="F1439" t="s">
        <v>3260</v>
      </c>
      <c r="G1439" t="str">
        <f>"201502002002"</f>
        <v>201502002002</v>
      </c>
      <c r="H1439">
        <v>64.8</v>
      </c>
      <c r="I1439">
        <v>0</v>
      </c>
      <c r="M1439">
        <v>0</v>
      </c>
      <c r="N1439">
        <v>4</v>
      </c>
      <c r="O1439">
        <v>0</v>
      </c>
      <c r="P1439">
        <v>68.8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  <c r="AC1439">
        <v>68.8</v>
      </c>
    </row>
    <row r="1440" spans="1:29">
      <c r="A1440">
        <v>1433</v>
      </c>
      <c r="B1440">
        <v>4840</v>
      </c>
      <c r="C1440" t="s">
        <v>3254</v>
      </c>
      <c r="D1440" t="s">
        <v>35</v>
      </c>
      <c r="E1440" t="s">
        <v>28</v>
      </c>
      <c r="F1440" t="s">
        <v>3255</v>
      </c>
      <c r="G1440" t="str">
        <f>"00857554"</f>
        <v>00857554</v>
      </c>
      <c r="H1440">
        <v>64.8</v>
      </c>
      <c r="I1440">
        <v>0</v>
      </c>
      <c r="L1440">
        <v>4</v>
      </c>
      <c r="M1440">
        <v>4</v>
      </c>
      <c r="N1440">
        <v>0</v>
      </c>
      <c r="O1440">
        <v>0</v>
      </c>
      <c r="P1440">
        <v>68.8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v>0</v>
      </c>
      <c r="AA1440">
        <v>0</v>
      </c>
      <c r="AC1440">
        <v>68.8</v>
      </c>
    </row>
    <row r="1441" spans="1:29">
      <c r="A1441">
        <v>1434</v>
      </c>
      <c r="B1441">
        <v>3239</v>
      </c>
      <c r="C1441" t="s">
        <v>3252</v>
      </c>
      <c r="D1441" t="s">
        <v>784</v>
      </c>
      <c r="E1441" t="s">
        <v>156</v>
      </c>
      <c r="F1441" t="s">
        <v>3253</v>
      </c>
      <c r="G1441" t="str">
        <f>"00555745"</f>
        <v>00555745</v>
      </c>
      <c r="H1441">
        <v>64.8</v>
      </c>
      <c r="I1441">
        <v>0</v>
      </c>
      <c r="M1441">
        <v>0</v>
      </c>
      <c r="N1441">
        <v>4</v>
      </c>
      <c r="O1441">
        <v>0</v>
      </c>
      <c r="P1441">
        <v>68.8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0</v>
      </c>
      <c r="AC1441">
        <v>68.8</v>
      </c>
    </row>
    <row r="1442" spans="1:29">
      <c r="A1442">
        <v>1435</v>
      </c>
      <c r="B1442">
        <v>2681</v>
      </c>
      <c r="C1442" t="s">
        <v>3261</v>
      </c>
      <c r="D1442" t="s">
        <v>86</v>
      </c>
      <c r="E1442" t="s">
        <v>252</v>
      </c>
      <c r="F1442" t="s">
        <v>3262</v>
      </c>
      <c r="G1442" t="str">
        <f>"00529112"</f>
        <v>00529112</v>
      </c>
      <c r="H1442">
        <v>28.8</v>
      </c>
      <c r="I1442">
        <v>10</v>
      </c>
      <c r="L1442">
        <v>8</v>
      </c>
      <c r="M1442">
        <v>8</v>
      </c>
      <c r="N1442">
        <v>4</v>
      </c>
      <c r="O1442">
        <v>0</v>
      </c>
      <c r="P1442">
        <v>50.8</v>
      </c>
      <c r="Q1442">
        <v>18</v>
      </c>
      <c r="R1442">
        <v>18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18</v>
      </c>
      <c r="Z1442">
        <v>0</v>
      </c>
      <c r="AA1442">
        <v>0</v>
      </c>
      <c r="AC1442">
        <v>68.8</v>
      </c>
    </row>
    <row r="1443" spans="1:29">
      <c r="A1443">
        <v>1436</v>
      </c>
      <c r="B1443">
        <v>2705</v>
      </c>
      <c r="C1443" t="s">
        <v>2545</v>
      </c>
      <c r="D1443" t="s">
        <v>3263</v>
      </c>
      <c r="E1443" t="s">
        <v>122</v>
      </c>
      <c r="F1443" t="s">
        <v>3264</v>
      </c>
      <c r="G1443" t="str">
        <f>"00523654"</f>
        <v>00523654</v>
      </c>
      <c r="H1443">
        <v>28.8</v>
      </c>
      <c r="I1443">
        <v>0</v>
      </c>
      <c r="L1443">
        <v>4</v>
      </c>
      <c r="M1443">
        <v>4</v>
      </c>
      <c r="N1443">
        <v>4</v>
      </c>
      <c r="O1443">
        <v>0</v>
      </c>
      <c r="P1443">
        <v>36.799999999999997</v>
      </c>
      <c r="Q1443">
        <v>32</v>
      </c>
      <c r="R1443">
        <v>32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32</v>
      </c>
      <c r="Z1443">
        <v>0</v>
      </c>
      <c r="AA1443">
        <v>0</v>
      </c>
      <c r="AC1443">
        <v>68.8</v>
      </c>
    </row>
    <row r="1444" spans="1:29">
      <c r="A1444">
        <v>1437</v>
      </c>
      <c r="B1444">
        <v>1054</v>
      </c>
      <c r="C1444" t="s">
        <v>3265</v>
      </c>
      <c r="D1444" t="s">
        <v>276</v>
      </c>
      <c r="E1444" t="s">
        <v>66</v>
      </c>
      <c r="F1444" t="s">
        <v>3266</v>
      </c>
      <c r="G1444" t="str">
        <f>"201510002226"</f>
        <v>201510002226</v>
      </c>
      <c r="H1444">
        <v>25.72</v>
      </c>
      <c r="I1444">
        <v>10</v>
      </c>
      <c r="M1444">
        <v>0</v>
      </c>
      <c r="N1444">
        <v>4</v>
      </c>
      <c r="O1444">
        <v>2</v>
      </c>
      <c r="P1444">
        <v>41.72</v>
      </c>
      <c r="Q1444">
        <v>24</v>
      </c>
      <c r="R1444">
        <v>24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24</v>
      </c>
      <c r="Z1444">
        <v>3</v>
      </c>
      <c r="AA1444">
        <v>0</v>
      </c>
      <c r="AC1444">
        <v>68.72</v>
      </c>
    </row>
    <row r="1445" spans="1:29">
      <c r="A1445">
        <v>1438</v>
      </c>
      <c r="B1445">
        <v>2659</v>
      </c>
      <c r="C1445" t="s">
        <v>1605</v>
      </c>
      <c r="D1445" t="s">
        <v>95</v>
      </c>
      <c r="E1445" t="s">
        <v>28</v>
      </c>
      <c r="F1445" t="s">
        <v>3268</v>
      </c>
      <c r="G1445" t="str">
        <f>"00187967"</f>
        <v>00187967</v>
      </c>
      <c r="H1445">
        <v>57.6</v>
      </c>
      <c r="I1445">
        <v>0</v>
      </c>
      <c r="L1445">
        <v>4</v>
      </c>
      <c r="M1445">
        <v>4</v>
      </c>
      <c r="N1445">
        <v>4</v>
      </c>
      <c r="O1445">
        <v>0</v>
      </c>
      <c r="P1445">
        <v>65.599999999999994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3</v>
      </c>
      <c r="AA1445">
        <v>0</v>
      </c>
      <c r="AC1445">
        <v>68.599999999999994</v>
      </c>
    </row>
    <row r="1446" spans="1:29">
      <c r="A1446">
        <v>1439</v>
      </c>
      <c r="B1446">
        <v>1228</v>
      </c>
      <c r="C1446" t="s">
        <v>539</v>
      </c>
      <c r="D1446" t="s">
        <v>24</v>
      </c>
      <c r="E1446" t="s">
        <v>36</v>
      </c>
      <c r="F1446" t="s">
        <v>3267</v>
      </c>
      <c r="G1446" t="str">
        <f>"00854285"</f>
        <v>00854285</v>
      </c>
      <c r="H1446">
        <v>57.6</v>
      </c>
      <c r="I1446">
        <v>0</v>
      </c>
      <c r="L1446">
        <v>4</v>
      </c>
      <c r="M1446">
        <v>4</v>
      </c>
      <c r="N1446">
        <v>4</v>
      </c>
      <c r="O1446">
        <v>0</v>
      </c>
      <c r="P1446">
        <v>65.599999999999994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3</v>
      </c>
      <c r="AA1446">
        <v>0</v>
      </c>
      <c r="AC1446">
        <v>68.599999999999994</v>
      </c>
    </row>
    <row r="1447" spans="1:29">
      <c r="A1447">
        <v>1440</v>
      </c>
      <c r="B1447">
        <v>4004</v>
      </c>
      <c r="C1447" t="s">
        <v>3269</v>
      </c>
      <c r="D1447" t="s">
        <v>15</v>
      </c>
      <c r="E1447" t="s">
        <v>18</v>
      </c>
      <c r="F1447" t="s">
        <v>3270</v>
      </c>
      <c r="G1447" t="str">
        <f>"200801006121"</f>
        <v>200801006121</v>
      </c>
      <c r="H1447">
        <v>33.6</v>
      </c>
      <c r="I1447">
        <v>0</v>
      </c>
      <c r="J1447">
        <v>8</v>
      </c>
      <c r="M1447">
        <v>8</v>
      </c>
      <c r="N1447">
        <v>4</v>
      </c>
      <c r="O1447">
        <v>2</v>
      </c>
      <c r="P1447">
        <v>47.6</v>
      </c>
      <c r="Q1447">
        <v>18</v>
      </c>
      <c r="R1447">
        <v>18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18</v>
      </c>
      <c r="Z1447">
        <v>3</v>
      </c>
      <c r="AA1447">
        <v>0</v>
      </c>
      <c r="AC1447">
        <v>68.599999999999994</v>
      </c>
    </row>
    <row r="1448" spans="1:29">
      <c r="A1448">
        <v>1441</v>
      </c>
      <c r="B1448">
        <v>1670</v>
      </c>
      <c r="C1448" t="s">
        <v>3271</v>
      </c>
      <c r="D1448" t="s">
        <v>179</v>
      </c>
      <c r="E1448" t="s">
        <v>156</v>
      </c>
      <c r="F1448" t="s">
        <v>3272</v>
      </c>
      <c r="G1448" t="str">
        <f>"00530016"</f>
        <v>00530016</v>
      </c>
      <c r="H1448">
        <v>16.559999999999999</v>
      </c>
      <c r="I1448">
        <v>0</v>
      </c>
      <c r="M1448">
        <v>0</v>
      </c>
      <c r="N1448">
        <v>4</v>
      </c>
      <c r="O1448">
        <v>0</v>
      </c>
      <c r="P1448">
        <v>20.56</v>
      </c>
      <c r="Q1448">
        <v>42</v>
      </c>
      <c r="R1448">
        <v>42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42</v>
      </c>
      <c r="Z1448">
        <v>6</v>
      </c>
      <c r="AA1448">
        <v>0</v>
      </c>
      <c r="AC1448">
        <v>68.56</v>
      </c>
    </row>
    <row r="1449" spans="1:29">
      <c r="A1449">
        <v>1442</v>
      </c>
      <c r="B1449">
        <v>2413</v>
      </c>
      <c r="C1449" t="s">
        <v>3273</v>
      </c>
      <c r="D1449" t="s">
        <v>113</v>
      </c>
      <c r="E1449" t="s">
        <v>60</v>
      </c>
      <c r="F1449" t="s">
        <v>3274</v>
      </c>
      <c r="G1449" t="str">
        <f>"00498320"</f>
        <v>00498320</v>
      </c>
      <c r="H1449">
        <v>19.48</v>
      </c>
      <c r="I1449">
        <v>0</v>
      </c>
      <c r="M1449">
        <v>0</v>
      </c>
      <c r="N1449">
        <v>0</v>
      </c>
      <c r="O1449">
        <v>2</v>
      </c>
      <c r="P1449">
        <v>21.48</v>
      </c>
      <c r="Q1449">
        <v>47</v>
      </c>
      <c r="R1449">
        <v>47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47</v>
      </c>
      <c r="Z1449">
        <v>0</v>
      </c>
      <c r="AA1449">
        <v>0</v>
      </c>
      <c r="AC1449">
        <v>68.48</v>
      </c>
    </row>
    <row r="1450" spans="1:29">
      <c r="A1450">
        <v>1443</v>
      </c>
      <c r="B1450">
        <v>4139</v>
      </c>
      <c r="C1450" t="s">
        <v>3275</v>
      </c>
      <c r="D1450" t="s">
        <v>159</v>
      </c>
      <c r="E1450" t="s">
        <v>237</v>
      </c>
      <c r="F1450" t="s">
        <v>3276</v>
      </c>
      <c r="G1450" t="str">
        <f>"00441734"</f>
        <v>00441734</v>
      </c>
      <c r="H1450">
        <v>50.4</v>
      </c>
      <c r="I1450">
        <v>0</v>
      </c>
      <c r="M1450">
        <v>0</v>
      </c>
      <c r="N1450">
        <v>0</v>
      </c>
      <c r="O1450">
        <v>0</v>
      </c>
      <c r="P1450">
        <v>50.4</v>
      </c>
      <c r="Q1450">
        <v>12</v>
      </c>
      <c r="R1450">
        <v>12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12</v>
      </c>
      <c r="Z1450">
        <v>6</v>
      </c>
      <c r="AA1450">
        <v>0</v>
      </c>
      <c r="AC1450">
        <v>68.400000000000006</v>
      </c>
    </row>
    <row r="1451" spans="1:29">
      <c r="A1451">
        <v>1444</v>
      </c>
      <c r="B1451">
        <v>3348</v>
      </c>
      <c r="C1451" t="s">
        <v>3277</v>
      </c>
      <c r="D1451" t="s">
        <v>164</v>
      </c>
      <c r="E1451" t="s">
        <v>18</v>
      </c>
      <c r="F1451" t="s">
        <v>3278</v>
      </c>
      <c r="G1451" t="str">
        <f>"00531586"</f>
        <v>00531586</v>
      </c>
      <c r="H1451">
        <v>14.4</v>
      </c>
      <c r="I1451">
        <v>0</v>
      </c>
      <c r="L1451">
        <v>4</v>
      </c>
      <c r="M1451">
        <v>4</v>
      </c>
      <c r="N1451">
        <v>4</v>
      </c>
      <c r="O1451">
        <v>0</v>
      </c>
      <c r="P1451">
        <v>22.4</v>
      </c>
      <c r="Q1451">
        <v>43</v>
      </c>
      <c r="R1451">
        <v>43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43</v>
      </c>
      <c r="Z1451">
        <v>3</v>
      </c>
      <c r="AA1451">
        <v>0</v>
      </c>
      <c r="AC1451">
        <v>68.400000000000006</v>
      </c>
    </row>
    <row r="1452" spans="1:29">
      <c r="A1452">
        <v>1445</v>
      </c>
      <c r="B1452">
        <v>3835</v>
      </c>
      <c r="C1452" t="s">
        <v>3281</v>
      </c>
      <c r="D1452" t="s">
        <v>52</v>
      </c>
      <c r="E1452" t="s">
        <v>15</v>
      </c>
      <c r="F1452" t="s">
        <v>3282</v>
      </c>
      <c r="G1452" t="str">
        <f>"00676674"</f>
        <v>00676674</v>
      </c>
      <c r="H1452">
        <v>50.4</v>
      </c>
      <c r="I1452">
        <v>10</v>
      </c>
      <c r="L1452">
        <v>4</v>
      </c>
      <c r="M1452">
        <v>4</v>
      </c>
      <c r="N1452">
        <v>4</v>
      </c>
      <c r="O1452">
        <v>0</v>
      </c>
      <c r="P1452">
        <v>68.400000000000006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0</v>
      </c>
      <c r="AC1452">
        <v>68.400000000000006</v>
      </c>
    </row>
    <row r="1453" spans="1:29">
      <c r="A1453">
        <v>1446</v>
      </c>
      <c r="B1453">
        <v>1132</v>
      </c>
      <c r="C1453" t="s">
        <v>3279</v>
      </c>
      <c r="D1453" t="s">
        <v>1138</v>
      </c>
      <c r="E1453" t="s">
        <v>77</v>
      </c>
      <c r="F1453" t="s">
        <v>3280</v>
      </c>
      <c r="G1453" t="str">
        <f>"00004842"</f>
        <v>00004842</v>
      </c>
      <c r="H1453">
        <v>50.4</v>
      </c>
      <c r="I1453">
        <v>0</v>
      </c>
      <c r="J1453">
        <v>8</v>
      </c>
      <c r="L1453">
        <v>4</v>
      </c>
      <c r="M1453">
        <v>12</v>
      </c>
      <c r="N1453">
        <v>4</v>
      </c>
      <c r="O1453">
        <v>2</v>
      </c>
      <c r="P1453">
        <v>68.400000000000006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0</v>
      </c>
      <c r="AC1453">
        <v>68.400000000000006</v>
      </c>
    </row>
    <row r="1454" spans="1:29">
      <c r="A1454">
        <v>1447</v>
      </c>
      <c r="B1454">
        <v>3038</v>
      </c>
      <c r="C1454" t="s">
        <v>3283</v>
      </c>
      <c r="D1454" t="s">
        <v>52</v>
      </c>
      <c r="E1454" t="s">
        <v>15</v>
      </c>
      <c r="F1454" t="s">
        <v>3284</v>
      </c>
      <c r="G1454" t="str">
        <f>"00527089"</f>
        <v>00527089</v>
      </c>
      <c r="H1454">
        <v>50.4</v>
      </c>
      <c r="I1454">
        <v>0</v>
      </c>
      <c r="L1454">
        <v>4</v>
      </c>
      <c r="M1454">
        <v>4</v>
      </c>
      <c r="N1454">
        <v>4</v>
      </c>
      <c r="O1454">
        <v>2</v>
      </c>
      <c r="P1454">
        <v>60.4</v>
      </c>
      <c r="Q1454">
        <v>8</v>
      </c>
      <c r="R1454">
        <v>8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8</v>
      </c>
      <c r="Z1454">
        <v>0</v>
      </c>
      <c r="AA1454">
        <v>0</v>
      </c>
      <c r="AC1454">
        <v>68.400000000000006</v>
      </c>
    </row>
    <row r="1455" spans="1:29">
      <c r="A1455">
        <v>1448</v>
      </c>
      <c r="B1455">
        <v>15</v>
      </c>
      <c r="C1455" t="s">
        <v>3285</v>
      </c>
      <c r="D1455" t="s">
        <v>3286</v>
      </c>
      <c r="E1455" t="s">
        <v>3287</v>
      </c>
      <c r="F1455" t="s">
        <v>3288</v>
      </c>
      <c r="G1455" t="str">
        <f>"00508829"</f>
        <v>00508829</v>
      </c>
      <c r="H1455">
        <v>14.4</v>
      </c>
      <c r="I1455">
        <v>0</v>
      </c>
      <c r="L1455">
        <v>4</v>
      </c>
      <c r="M1455">
        <v>4</v>
      </c>
      <c r="N1455">
        <v>0</v>
      </c>
      <c r="O1455">
        <v>2</v>
      </c>
      <c r="P1455">
        <v>20.399999999999999</v>
      </c>
      <c r="Q1455">
        <v>48</v>
      </c>
      <c r="R1455">
        <v>48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48</v>
      </c>
      <c r="Z1455">
        <v>0</v>
      </c>
      <c r="AA1455">
        <v>0</v>
      </c>
      <c r="AC1455">
        <v>68.400000000000006</v>
      </c>
    </row>
    <row r="1456" spans="1:29">
      <c r="A1456">
        <v>1449</v>
      </c>
      <c r="B1456">
        <v>1672</v>
      </c>
      <c r="C1456" t="s">
        <v>3289</v>
      </c>
      <c r="D1456" t="s">
        <v>86</v>
      </c>
      <c r="E1456" t="s">
        <v>156</v>
      </c>
      <c r="F1456" t="s">
        <v>3290</v>
      </c>
      <c r="G1456" t="str">
        <f>"00492923"</f>
        <v>00492923</v>
      </c>
      <c r="H1456">
        <v>36.32</v>
      </c>
      <c r="I1456">
        <v>0</v>
      </c>
      <c r="L1456">
        <v>4</v>
      </c>
      <c r="M1456">
        <v>4</v>
      </c>
      <c r="N1456">
        <v>4</v>
      </c>
      <c r="O1456">
        <v>0</v>
      </c>
      <c r="P1456">
        <v>44.32</v>
      </c>
      <c r="Q1456">
        <v>18</v>
      </c>
      <c r="R1456">
        <v>18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18</v>
      </c>
      <c r="Z1456">
        <v>6</v>
      </c>
      <c r="AA1456">
        <v>0</v>
      </c>
      <c r="AC1456">
        <v>68.319999999999993</v>
      </c>
    </row>
    <row r="1457" spans="1:29">
      <c r="A1457">
        <v>1450</v>
      </c>
      <c r="B1457">
        <v>808</v>
      </c>
      <c r="C1457" t="s">
        <v>3291</v>
      </c>
      <c r="D1457" t="s">
        <v>98</v>
      </c>
      <c r="E1457" t="s">
        <v>581</v>
      </c>
      <c r="F1457" t="s">
        <v>3292</v>
      </c>
      <c r="G1457" t="str">
        <f>"00488921"</f>
        <v>00488921</v>
      </c>
      <c r="H1457">
        <v>39.200000000000003</v>
      </c>
      <c r="I1457">
        <v>10</v>
      </c>
      <c r="L1457">
        <v>4</v>
      </c>
      <c r="M1457">
        <v>4</v>
      </c>
      <c r="N1457">
        <v>4</v>
      </c>
      <c r="O1457">
        <v>2</v>
      </c>
      <c r="P1457">
        <v>59.2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9</v>
      </c>
      <c r="AA1457">
        <v>0</v>
      </c>
      <c r="AC1457">
        <v>68.2</v>
      </c>
    </row>
    <row r="1458" spans="1:29">
      <c r="A1458">
        <v>1451</v>
      </c>
      <c r="B1458">
        <v>377</v>
      </c>
      <c r="C1458" t="s">
        <v>1655</v>
      </c>
      <c r="D1458" t="s">
        <v>31</v>
      </c>
      <c r="E1458" t="s">
        <v>32</v>
      </c>
      <c r="F1458" t="s">
        <v>3293</v>
      </c>
      <c r="G1458" t="str">
        <f>"00086947"</f>
        <v>00086947</v>
      </c>
      <c r="H1458">
        <v>43.2</v>
      </c>
      <c r="I1458">
        <v>10</v>
      </c>
      <c r="J1458">
        <v>8</v>
      </c>
      <c r="M1458">
        <v>8</v>
      </c>
      <c r="N1458">
        <v>4</v>
      </c>
      <c r="O1458">
        <v>0</v>
      </c>
      <c r="P1458">
        <v>65.2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3</v>
      </c>
      <c r="AA1458">
        <v>0</v>
      </c>
      <c r="AC1458">
        <v>68.2</v>
      </c>
    </row>
    <row r="1459" spans="1:29">
      <c r="A1459">
        <v>1452</v>
      </c>
      <c r="B1459">
        <v>447</v>
      </c>
      <c r="C1459" t="s">
        <v>3294</v>
      </c>
      <c r="D1459" t="s">
        <v>147</v>
      </c>
      <c r="E1459" t="s">
        <v>36</v>
      </c>
      <c r="F1459" t="s">
        <v>3295</v>
      </c>
      <c r="G1459" t="str">
        <f>"00474778"</f>
        <v>00474778</v>
      </c>
      <c r="H1459">
        <v>7.2</v>
      </c>
      <c r="I1459">
        <v>10</v>
      </c>
      <c r="L1459">
        <v>4</v>
      </c>
      <c r="M1459">
        <v>4</v>
      </c>
      <c r="N1459">
        <v>4</v>
      </c>
      <c r="O1459">
        <v>2</v>
      </c>
      <c r="P1459">
        <v>27.2</v>
      </c>
      <c r="Q1459">
        <v>5</v>
      </c>
      <c r="R1459">
        <v>5</v>
      </c>
      <c r="S1459">
        <v>18</v>
      </c>
      <c r="T1459">
        <v>36</v>
      </c>
      <c r="U1459">
        <v>0</v>
      </c>
      <c r="V1459">
        <v>0</v>
      </c>
      <c r="W1459">
        <v>0</v>
      </c>
      <c r="X1459">
        <v>0</v>
      </c>
      <c r="Y1459">
        <v>41</v>
      </c>
      <c r="Z1459">
        <v>0</v>
      </c>
      <c r="AA1459">
        <v>0</v>
      </c>
      <c r="AC1459">
        <v>68.2</v>
      </c>
    </row>
    <row r="1460" spans="1:29">
      <c r="A1460">
        <v>1453</v>
      </c>
      <c r="B1460">
        <v>2393</v>
      </c>
      <c r="C1460" t="s">
        <v>3296</v>
      </c>
      <c r="D1460" t="s">
        <v>52</v>
      </c>
      <c r="E1460" t="s">
        <v>134</v>
      </c>
      <c r="F1460" t="s">
        <v>3297</v>
      </c>
      <c r="G1460" t="str">
        <f>"00533890"</f>
        <v>00533890</v>
      </c>
      <c r="H1460">
        <v>7.2</v>
      </c>
      <c r="I1460">
        <v>0</v>
      </c>
      <c r="J1460">
        <v>8</v>
      </c>
      <c r="M1460">
        <v>8</v>
      </c>
      <c r="N1460">
        <v>4</v>
      </c>
      <c r="O1460">
        <v>2</v>
      </c>
      <c r="P1460">
        <v>21.2</v>
      </c>
      <c r="Q1460">
        <v>47</v>
      </c>
      <c r="R1460">
        <v>47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47</v>
      </c>
      <c r="Z1460">
        <v>0</v>
      </c>
      <c r="AA1460">
        <v>0</v>
      </c>
      <c r="AC1460">
        <v>68.2</v>
      </c>
    </row>
    <row r="1461" spans="1:29">
      <c r="A1461">
        <v>1454</v>
      </c>
      <c r="B1461">
        <v>1603</v>
      </c>
      <c r="C1461" t="s">
        <v>3298</v>
      </c>
      <c r="D1461" t="s">
        <v>20</v>
      </c>
      <c r="E1461" t="s">
        <v>115</v>
      </c>
      <c r="F1461" t="s">
        <v>3299</v>
      </c>
      <c r="G1461" t="str">
        <f>"00255708"</f>
        <v>00255708</v>
      </c>
      <c r="H1461">
        <v>7.2</v>
      </c>
      <c r="I1461">
        <v>0</v>
      </c>
      <c r="L1461">
        <v>4</v>
      </c>
      <c r="M1461">
        <v>4</v>
      </c>
      <c r="N1461">
        <v>4</v>
      </c>
      <c r="O1461">
        <v>2</v>
      </c>
      <c r="P1461">
        <v>17.2</v>
      </c>
      <c r="Q1461">
        <v>51</v>
      </c>
      <c r="R1461">
        <v>51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51</v>
      </c>
      <c r="Z1461">
        <v>0</v>
      </c>
      <c r="AA1461">
        <v>0</v>
      </c>
      <c r="AC1461">
        <v>68.2</v>
      </c>
    </row>
    <row r="1462" spans="1:29">
      <c r="A1462">
        <v>1455</v>
      </c>
      <c r="B1462">
        <v>3466</v>
      </c>
      <c r="C1462" t="s">
        <v>2673</v>
      </c>
      <c r="D1462" t="s">
        <v>27</v>
      </c>
      <c r="E1462" t="s">
        <v>122</v>
      </c>
      <c r="F1462" t="s">
        <v>3300</v>
      </c>
      <c r="G1462" t="str">
        <f>"00533204"</f>
        <v>00533204</v>
      </c>
      <c r="H1462">
        <v>7.2</v>
      </c>
      <c r="I1462">
        <v>0</v>
      </c>
      <c r="M1462">
        <v>0</v>
      </c>
      <c r="N1462">
        <v>0</v>
      </c>
      <c r="O1462">
        <v>0</v>
      </c>
      <c r="P1462">
        <v>7.2</v>
      </c>
      <c r="Q1462">
        <v>61</v>
      </c>
      <c r="R1462">
        <v>61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61</v>
      </c>
      <c r="Z1462">
        <v>0</v>
      </c>
      <c r="AA1462">
        <v>0</v>
      </c>
      <c r="AC1462">
        <v>68.2</v>
      </c>
    </row>
    <row r="1463" spans="1:29">
      <c r="A1463">
        <v>1456</v>
      </c>
      <c r="B1463">
        <v>1357</v>
      </c>
      <c r="C1463" t="s">
        <v>3301</v>
      </c>
      <c r="D1463" t="s">
        <v>175</v>
      </c>
      <c r="E1463" t="s">
        <v>322</v>
      </c>
      <c r="F1463" t="s">
        <v>3302</v>
      </c>
      <c r="G1463" t="str">
        <f>"00483951"</f>
        <v>00483951</v>
      </c>
      <c r="H1463">
        <v>22.16</v>
      </c>
      <c r="I1463">
        <v>10</v>
      </c>
      <c r="M1463">
        <v>0</v>
      </c>
      <c r="N1463">
        <v>4</v>
      </c>
      <c r="O1463">
        <v>0</v>
      </c>
      <c r="P1463">
        <v>36.159999999999997</v>
      </c>
      <c r="Q1463">
        <v>29</v>
      </c>
      <c r="R1463">
        <v>29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29</v>
      </c>
      <c r="Z1463">
        <v>3</v>
      </c>
      <c r="AA1463">
        <v>0</v>
      </c>
      <c r="AC1463">
        <v>68.16</v>
      </c>
    </row>
    <row r="1464" spans="1:29">
      <c r="A1464">
        <v>1457</v>
      </c>
      <c r="B1464">
        <v>3837</v>
      </c>
      <c r="C1464" t="s">
        <v>3303</v>
      </c>
      <c r="D1464" t="s">
        <v>3304</v>
      </c>
      <c r="E1464" t="s">
        <v>18</v>
      </c>
      <c r="F1464" t="s">
        <v>3305</v>
      </c>
      <c r="G1464" t="str">
        <f>"201511023581"</f>
        <v>201511023581</v>
      </c>
      <c r="H1464">
        <v>40</v>
      </c>
      <c r="I1464">
        <v>10</v>
      </c>
      <c r="K1464">
        <v>6</v>
      </c>
      <c r="M1464">
        <v>6</v>
      </c>
      <c r="N1464">
        <v>4</v>
      </c>
      <c r="O1464">
        <v>2</v>
      </c>
      <c r="P1464">
        <v>62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6</v>
      </c>
      <c r="AA1464">
        <v>0</v>
      </c>
      <c r="AC1464">
        <v>68</v>
      </c>
    </row>
    <row r="1465" spans="1:29">
      <c r="A1465">
        <v>1458</v>
      </c>
      <c r="B1465">
        <v>2374</v>
      </c>
      <c r="C1465" t="s">
        <v>3306</v>
      </c>
      <c r="D1465" t="s">
        <v>52</v>
      </c>
      <c r="E1465" t="s">
        <v>134</v>
      </c>
      <c r="F1465" t="s">
        <v>3307</v>
      </c>
      <c r="G1465" t="str">
        <f>"00512900"</f>
        <v>00512900</v>
      </c>
      <c r="H1465">
        <v>30</v>
      </c>
      <c r="I1465">
        <v>0</v>
      </c>
      <c r="M1465">
        <v>0</v>
      </c>
      <c r="N1465">
        <v>4</v>
      </c>
      <c r="O1465">
        <v>2</v>
      </c>
      <c r="P1465">
        <v>36</v>
      </c>
      <c r="Q1465">
        <v>26</v>
      </c>
      <c r="R1465">
        <v>26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26</v>
      </c>
      <c r="Z1465">
        <v>6</v>
      </c>
      <c r="AA1465">
        <v>0</v>
      </c>
      <c r="AC1465">
        <v>68</v>
      </c>
    </row>
    <row r="1466" spans="1:29">
      <c r="A1466">
        <v>1459</v>
      </c>
      <c r="B1466">
        <v>1257</v>
      </c>
      <c r="C1466" t="s">
        <v>3308</v>
      </c>
      <c r="D1466" t="s">
        <v>2155</v>
      </c>
      <c r="E1466" t="s">
        <v>337</v>
      </c>
      <c r="F1466" t="s">
        <v>3309</v>
      </c>
      <c r="G1466" t="str">
        <f>"201406008390"</f>
        <v>201406008390</v>
      </c>
      <c r="H1466">
        <v>36</v>
      </c>
      <c r="I1466">
        <v>10</v>
      </c>
      <c r="J1466">
        <v>16</v>
      </c>
      <c r="M1466">
        <v>16</v>
      </c>
      <c r="N1466">
        <v>4</v>
      </c>
      <c r="O1466">
        <v>2</v>
      </c>
      <c r="P1466">
        <v>68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C1466">
        <v>68</v>
      </c>
    </row>
    <row r="1467" spans="1:29">
      <c r="A1467">
        <v>1460</v>
      </c>
      <c r="B1467">
        <v>3220</v>
      </c>
      <c r="C1467" t="s">
        <v>3315</v>
      </c>
      <c r="D1467" t="s">
        <v>1744</v>
      </c>
      <c r="E1467" t="s">
        <v>1512</v>
      </c>
      <c r="F1467" t="s">
        <v>3316</v>
      </c>
      <c r="G1467" t="str">
        <f>"00532611"</f>
        <v>00532611</v>
      </c>
      <c r="H1467">
        <v>36</v>
      </c>
      <c r="I1467">
        <v>0</v>
      </c>
      <c r="J1467">
        <v>8</v>
      </c>
      <c r="M1467">
        <v>8</v>
      </c>
      <c r="N1467">
        <v>4</v>
      </c>
      <c r="O1467">
        <v>2</v>
      </c>
      <c r="P1467">
        <v>50</v>
      </c>
      <c r="Q1467">
        <v>18</v>
      </c>
      <c r="R1467">
        <v>18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18</v>
      </c>
      <c r="Z1467">
        <v>0</v>
      </c>
      <c r="AA1467">
        <v>0</v>
      </c>
      <c r="AC1467">
        <v>68</v>
      </c>
    </row>
    <row r="1468" spans="1:29">
      <c r="A1468">
        <v>1461</v>
      </c>
      <c r="B1468">
        <v>233</v>
      </c>
      <c r="C1468" t="s">
        <v>3317</v>
      </c>
      <c r="D1468" t="s">
        <v>159</v>
      </c>
      <c r="E1468" t="s">
        <v>89</v>
      </c>
      <c r="F1468" t="s">
        <v>3318</v>
      </c>
      <c r="G1468" t="str">
        <f>"00476132"</f>
        <v>00476132</v>
      </c>
      <c r="H1468">
        <v>36</v>
      </c>
      <c r="I1468">
        <v>0</v>
      </c>
      <c r="J1468">
        <v>8</v>
      </c>
      <c r="M1468">
        <v>8</v>
      </c>
      <c r="N1468">
        <v>4</v>
      </c>
      <c r="O1468">
        <v>2</v>
      </c>
      <c r="P1468">
        <v>50</v>
      </c>
      <c r="Q1468">
        <v>18</v>
      </c>
      <c r="R1468">
        <v>18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18</v>
      </c>
      <c r="Z1468">
        <v>0</v>
      </c>
      <c r="AA1468">
        <v>0</v>
      </c>
      <c r="AC1468">
        <v>68</v>
      </c>
    </row>
    <row r="1469" spans="1:29">
      <c r="A1469">
        <v>1462</v>
      </c>
      <c r="B1469">
        <v>658</v>
      </c>
      <c r="C1469" t="s">
        <v>3312</v>
      </c>
      <c r="D1469" t="s">
        <v>3313</v>
      </c>
      <c r="E1469" t="s">
        <v>103</v>
      </c>
      <c r="F1469" t="s">
        <v>3314</v>
      </c>
      <c r="G1469" t="str">
        <f>"00513681"</f>
        <v>00513681</v>
      </c>
      <c r="H1469">
        <v>36</v>
      </c>
      <c r="I1469">
        <v>0</v>
      </c>
      <c r="L1469">
        <v>8</v>
      </c>
      <c r="M1469">
        <v>8</v>
      </c>
      <c r="N1469">
        <v>4</v>
      </c>
      <c r="O1469">
        <v>2</v>
      </c>
      <c r="P1469">
        <v>50</v>
      </c>
      <c r="Q1469">
        <v>18</v>
      </c>
      <c r="R1469">
        <v>18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18</v>
      </c>
      <c r="Z1469">
        <v>0</v>
      </c>
      <c r="AA1469">
        <v>0</v>
      </c>
      <c r="AC1469">
        <v>68</v>
      </c>
    </row>
    <row r="1470" spans="1:29">
      <c r="A1470">
        <v>1463</v>
      </c>
      <c r="B1470">
        <v>3965</v>
      </c>
      <c r="C1470" t="s">
        <v>3310</v>
      </c>
      <c r="D1470" t="s">
        <v>95</v>
      </c>
      <c r="E1470" t="s">
        <v>190</v>
      </c>
      <c r="F1470" t="s">
        <v>3311</v>
      </c>
      <c r="G1470" t="str">
        <f>"00152419"</f>
        <v>00152419</v>
      </c>
      <c r="H1470">
        <v>36</v>
      </c>
      <c r="I1470">
        <v>0</v>
      </c>
      <c r="J1470">
        <v>8</v>
      </c>
      <c r="M1470">
        <v>8</v>
      </c>
      <c r="N1470">
        <v>4</v>
      </c>
      <c r="O1470">
        <v>2</v>
      </c>
      <c r="P1470">
        <v>50</v>
      </c>
      <c r="Q1470">
        <v>18</v>
      </c>
      <c r="R1470">
        <v>18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18</v>
      </c>
      <c r="Z1470">
        <v>0</v>
      </c>
      <c r="AA1470">
        <v>0</v>
      </c>
      <c r="AC1470">
        <v>68</v>
      </c>
    </row>
    <row r="1471" spans="1:29">
      <c r="A1471">
        <v>1464</v>
      </c>
      <c r="B1471">
        <v>2428</v>
      </c>
      <c r="C1471" t="s">
        <v>1860</v>
      </c>
      <c r="D1471" t="s">
        <v>49</v>
      </c>
      <c r="E1471" t="s">
        <v>79</v>
      </c>
      <c r="F1471" t="s">
        <v>3319</v>
      </c>
      <c r="G1471" t="str">
        <f>"201406007102"</f>
        <v>201406007102</v>
      </c>
      <c r="H1471">
        <v>39.4</v>
      </c>
      <c r="I1471">
        <v>0</v>
      </c>
      <c r="L1471">
        <v>4</v>
      </c>
      <c r="M1471">
        <v>4</v>
      </c>
      <c r="N1471">
        <v>4</v>
      </c>
      <c r="O1471">
        <v>0</v>
      </c>
      <c r="P1471">
        <v>47.4</v>
      </c>
      <c r="Q1471">
        <v>4</v>
      </c>
      <c r="R1471">
        <v>4</v>
      </c>
      <c r="S1471">
        <v>0</v>
      </c>
      <c r="T1471">
        <v>0</v>
      </c>
      <c r="U1471">
        <v>3</v>
      </c>
      <c r="V1471">
        <v>4.5</v>
      </c>
      <c r="W1471">
        <v>0</v>
      </c>
      <c r="X1471">
        <v>0</v>
      </c>
      <c r="Y1471">
        <v>8.5</v>
      </c>
      <c r="Z1471">
        <v>12</v>
      </c>
      <c r="AA1471">
        <v>0</v>
      </c>
      <c r="AC1471">
        <v>67.900000000000006</v>
      </c>
    </row>
    <row r="1472" spans="1:29">
      <c r="A1472">
        <v>1465</v>
      </c>
      <c r="B1472">
        <v>1230</v>
      </c>
      <c r="C1472" t="s">
        <v>3320</v>
      </c>
      <c r="D1472" t="s">
        <v>102</v>
      </c>
      <c r="E1472" t="s">
        <v>122</v>
      </c>
      <c r="F1472" t="s">
        <v>3321</v>
      </c>
      <c r="G1472" t="str">
        <f>"00529904"</f>
        <v>00529904</v>
      </c>
      <c r="H1472">
        <v>21.88</v>
      </c>
      <c r="I1472">
        <v>0</v>
      </c>
      <c r="M1472">
        <v>0</v>
      </c>
      <c r="N1472">
        <v>4</v>
      </c>
      <c r="O1472">
        <v>2</v>
      </c>
      <c r="P1472">
        <v>27.88</v>
      </c>
      <c r="Q1472">
        <v>40</v>
      </c>
      <c r="R1472">
        <v>40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40</v>
      </c>
      <c r="Z1472">
        <v>0</v>
      </c>
      <c r="AA1472">
        <v>0</v>
      </c>
      <c r="AC1472">
        <v>67.88</v>
      </c>
    </row>
    <row r="1473" spans="1:29">
      <c r="A1473">
        <v>1466</v>
      </c>
      <c r="B1473">
        <v>4227</v>
      </c>
      <c r="C1473" t="s">
        <v>3322</v>
      </c>
      <c r="D1473" t="s">
        <v>179</v>
      </c>
      <c r="E1473" t="s">
        <v>1813</v>
      </c>
      <c r="F1473" t="s">
        <v>3323</v>
      </c>
      <c r="G1473" t="str">
        <f>"00559503"</f>
        <v>00559503</v>
      </c>
      <c r="H1473">
        <v>64.8</v>
      </c>
      <c r="I1473">
        <v>0</v>
      </c>
      <c r="M1473">
        <v>0</v>
      </c>
      <c r="N1473">
        <v>0</v>
      </c>
      <c r="O1473">
        <v>0</v>
      </c>
      <c r="P1473">
        <v>64.8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3</v>
      </c>
      <c r="AA1473">
        <v>0</v>
      </c>
      <c r="AC1473">
        <v>67.8</v>
      </c>
    </row>
    <row r="1474" spans="1:29">
      <c r="A1474">
        <v>1467</v>
      </c>
      <c r="B1474">
        <v>2225</v>
      </c>
      <c r="C1474" t="s">
        <v>3324</v>
      </c>
      <c r="D1474" t="s">
        <v>205</v>
      </c>
      <c r="E1474" t="s">
        <v>134</v>
      </c>
      <c r="F1474" t="s">
        <v>3325</v>
      </c>
      <c r="G1474" t="str">
        <f>"00040086"</f>
        <v>00040086</v>
      </c>
      <c r="H1474">
        <v>28.8</v>
      </c>
      <c r="I1474">
        <v>10</v>
      </c>
      <c r="M1474">
        <v>0</v>
      </c>
      <c r="N1474">
        <v>4</v>
      </c>
      <c r="O1474">
        <v>0</v>
      </c>
      <c r="P1474">
        <v>42.8</v>
      </c>
      <c r="Q1474">
        <v>22</v>
      </c>
      <c r="R1474">
        <v>22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22</v>
      </c>
      <c r="Z1474">
        <v>3</v>
      </c>
      <c r="AA1474">
        <v>0</v>
      </c>
      <c r="AC1474">
        <v>67.8</v>
      </c>
    </row>
    <row r="1475" spans="1:29">
      <c r="A1475">
        <v>1468</v>
      </c>
      <c r="B1475">
        <v>91</v>
      </c>
      <c r="C1475" t="s">
        <v>949</v>
      </c>
      <c r="D1475" t="s">
        <v>3326</v>
      </c>
      <c r="E1475" t="s">
        <v>122</v>
      </c>
      <c r="F1475" t="s">
        <v>3327</v>
      </c>
      <c r="G1475" t="str">
        <f>"00529704"</f>
        <v>00529704</v>
      </c>
      <c r="H1475">
        <v>28.8</v>
      </c>
      <c r="I1475">
        <v>0</v>
      </c>
      <c r="M1475">
        <v>0</v>
      </c>
      <c r="N1475">
        <v>4</v>
      </c>
      <c r="O1475">
        <v>2</v>
      </c>
      <c r="P1475">
        <v>34.799999999999997</v>
      </c>
      <c r="Q1475">
        <v>33</v>
      </c>
      <c r="R1475">
        <v>33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33</v>
      </c>
      <c r="Z1475">
        <v>0</v>
      </c>
      <c r="AA1475">
        <v>0</v>
      </c>
      <c r="AC1475">
        <v>67.8</v>
      </c>
    </row>
    <row r="1476" spans="1:29">
      <c r="A1476">
        <v>1469</v>
      </c>
      <c r="B1476">
        <v>2954</v>
      </c>
      <c r="C1476" t="s">
        <v>3328</v>
      </c>
      <c r="D1476" t="s">
        <v>473</v>
      </c>
      <c r="E1476" t="s">
        <v>134</v>
      </c>
      <c r="F1476" t="s">
        <v>3329</v>
      </c>
      <c r="G1476" t="str">
        <f>"201412007461"</f>
        <v>201412007461</v>
      </c>
      <c r="H1476">
        <v>15.72</v>
      </c>
      <c r="I1476">
        <v>0</v>
      </c>
      <c r="M1476">
        <v>0</v>
      </c>
      <c r="N1476">
        <v>4</v>
      </c>
      <c r="O1476">
        <v>2</v>
      </c>
      <c r="P1476">
        <v>21.72</v>
      </c>
      <c r="Q1476">
        <v>46</v>
      </c>
      <c r="R1476">
        <v>46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46</v>
      </c>
      <c r="Z1476">
        <v>0</v>
      </c>
      <c r="AA1476">
        <v>0</v>
      </c>
      <c r="AC1476">
        <v>67.72</v>
      </c>
    </row>
    <row r="1477" spans="1:29">
      <c r="A1477">
        <v>1470</v>
      </c>
      <c r="B1477">
        <v>4401</v>
      </c>
      <c r="C1477" t="s">
        <v>3330</v>
      </c>
      <c r="D1477" t="s">
        <v>27</v>
      </c>
      <c r="E1477" t="s">
        <v>15</v>
      </c>
      <c r="F1477" t="s">
        <v>3331</v>
      </c>
      <c r="G1477" t="str">
        <f>"00296833"</f>
        <v>00296833</v>
      </c>
      <c r="H1477">
        <v>21.6</v>
      </c>
      <c r="I1477">
        <v>0</v>
      </c>
      <c r="J1477">
        <v>8</v>
      </c>
      <c r="M1477">
        <v>8</v>
      </c>
      <c r="N1477">
        <v>4</v>
      </c>
      <c r="O1477">
        <v>2</v>
      </c>
      <c r="P1477">
        <v>35.6</v>
      </c>
      <c r="Q1477">
        <v>23</v>
      </c>
      <c r="R1477">
        <v>23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23</v>
      </c>
      <c r="Z1477">
        <v>9</v>
      </c>
      <c r="AA1477">
        <v>0</v>
      </c>
      <c r="AC1477">
        <v>67.599999999999994</v>
      </c>
    </row>
    <row r="1478" spans="1:29">
      <c r="A1478">
        <v>1471</v>
      </c>
      <c r="B1478">
        <v>4714</v>
      </c>
      <c r="C1478" t="s">
        <v>3332</v>
      </c>
      <c r="D1478" t="s">
        <v>3333</v>
      </c>
      <c r="E1478" t="s">
        <v>3334</v>
      </c>
      <c r="F1478" t="s">
        <v>3335</v>
      </c>
      <c r="G1478" t="str">
        <f>"00699037"</f>
        <v>00699037</v>
      </c>
      <c r="H1478">
        <v>57.6</v>
      </c>
      <c r="I1478">
        <v>0</v>
      </c>
      <c r="M1478">
        <v>0</v>
      </c>
      <c r="N1478">
        <v>4</v>
      </c>
      <c r="O1478">
        <v>0</v>
      </c>
      <c r="P1478">
        <v>61.6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6</v>
      </c>
      <c r="AA1478">
        <v>0</v>
      </c>
      <c r="AC1478">
        <v>67.599999999999994</v>
      </c>
    </row>
    <row r="1479" spans="1:29">
      <c r="A1479">
        <v>1472</v>
      </c>
      <c r="B1479">
        <v>4803</v>
      </c>
      <c r="C1479" t="s">
        <v>3336</v>
      </c>
      <c r="D1479" t="s">
        <v>3337</v>
      </c>
      <c r="E1479" t="s">
        <v>18</v>
      </c>
      <c r="F1479" t="s">
        <v>3338</v>
      </c>
      <c r="G1479" t="str">
        <f>"00541172"</f>
        <v>00541172</v>
      </c>
      <c r="H1479">
        <v>57.6</v>
      </c>
      <c r="I1479">
        <v>0</v>
      </c>
      <c r="M1479">
        <v>0</v>
      </c>
      <c r="N1479">
        <v>4</v>
      </c>
      <c r="O1479">
        <v>0</v>
      </c>
      <c r="P1479">
        <v>61.6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6</v>
      </c>
      <c r="AA1479">
        <v>0</v>
      </c>
      <c r="AC1479">
        <v>67.599999999999994</v>
      </c>
    </row>
    <row r="1480" spans="1:29">
      <c r="A1480">
        <v>1473</v>
      </c>
      <c r="B1480">
        <v>1347</v>
      </c>
      <c r="C1480" t="s">
        <v>3339</v>
      </c>
      <c r="D1480" t="s">
        <v>569</v>
      </c>
      <c r="E1480" t="s">
        <v>2266</v>
      </c>
      <c r="F1480" t="s">
        <v>3340</v>
      </c>
      <c r="G1480" t="str">
        <f>"00530838"</f>
        <v>00530838</v>
      </c>
      <c r="H1480">
        <v>25.6</v>
      </c>
      <c r="I1480">
        <v>0</v>
      </c>
      <c r="J1480">
        <v>8</v>
      </c>
      <c r="L1480">
        <v>4</v>
      </c>
      <c r="M1480">
        <v>12</v>
      </c>
      <c r="N1480">
        <v>4</v>
      </c>
      <c r="O1480">
        <v>2</v>
      </c>
      <c r="P1480">
        <v>43.6</v>
      </c>
      <c r="Q1480">
        <v>18</v>
      </c>
      <c r="R1480">
        <v>18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18</v>
      </c>
      <c r="Z1480">
        <v>6</v>
      </c>
      <c r="AA1480">
        <v>0</v>
      </c>
      <c r="AC1480">
        <v>67.599999999999994</v>
      </c>
    </row>
    <row r="1481" spans="1:29">
      <c r="A1481">
        <v>1474</v>
      </c>
      <c r="B1481">
        <v>1023</v>
      </c>
      <c r="C1481" t="s">
        <v>3341</v>
      </c>
      <c r="D1481" t="s">
        <v>35</v>
      </c>
      <c r="E1481" t="s">
        <v>134</v>
      </c>
      <c r="F1481">
        <v>832734</v>
      </c>
      <c r="G1481" t="str">
        <f>"00222479"</f>
        <v>00222479</v>
      </c>
      <c r="H1481">
        <v>57.6</v>
      </c>
      <c r="I1481">
        <v>0</v>
      </c>
      <c r="L1481">
        <v>4</v>
      </c>
      <c r="M1481">
        <v>4</v>
      </c>
      <c r="N1481">
        <v>4</v>
      </c>
      <c r="O1481">
        <v>2</v>
      </c>
      <c r="P1481">
        <v>67.599999999999994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 t="s">
        <v>128</v>
      </c>
      <c r="AC1481">
        <v>67.599999999999994</v>
      </c>
    </row>
    <row r="1482" spans="1:29">
      <c r="A1482">
        <v>1475</v>
      </c>
      <c r="B1482">
        <v>1645</v>
      </c>
      <c r="C1482" t="s">
        <v>3342</v>
      </c>
      <c r="D1482" t="s">
        <v>1426</v>
      </c>
      <c r="E1482" t="s">
        <v>115</v>
      </c>
      <c r="F1482" t="s">
        <v>3343</v>
      </c>
      <c r="G1482" t="str">
        <f>"00528458"</f>
        <v>00528458</v>
      </c>
      <c r="H1482">
        <v>57.6</v>
      </c>
      <c r="I1482">
        <v>0</v>
      </c>
      <c r="L1482">
        <v>4</v>
      </c>
      <c r="M1482">
        <v>4</v>
      </c>
      <c r="N1482">
        <v>4</v>
      </c>
      <c r="O1482">
        <v>2</v>
      </c>
      <c r="P1482">
        <v>67.599999999999994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C1482">
        <v>67.599999999999994</v>
      </c>
    </row>
    <row r="1483" spans="1:29">
      <c r="A1483">
        <v>1476</v>
      </c>
      <c r="B1483">
        <v>1630</v>
      </c>
      <c r="C1483" t="s">
        <v>1614</v>
      </c>
      <c r="D1483" t="s">
        <v>3350</v>
      </c>
      <c r="E1483" t="s">
        <v>115</v>
      </c>
      <c r="F1483" t="s">
        <v>3351</v>
      </c>
      <c r="G1483" t="str">
        <f>"00546251"</f>
        <v>00546251</v>
      </c>
      <c r="H1483">
        <v>57.6</v>
      </c>
      <c r="I1483">
        <v>0</v>
      </c>
      <c r="L1483">
        <v>4</v>
      </c>
      <c r="M1483">
        <v>4</v>
      </c>
      <c r="N1483">
        <v>4</v>
      </c>
      <c r="O1483">
        <v>2</v>
      </c>
      <c r="P1483">
        <v>67.599999999999994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C1483">
        <v>67.599999999999994</v>
      </c>
    </row>
    <row r="1484" spans="1:29">
      <c r="A1484">
        <v>1477</v>
      </c>
      <c r="B1484">
        <v>508</v>
      </c>
      <c r="C1484" t="s">
        <v>3376</v>
      </c>
      <c r="D1484" t="s">
        <v>248</v>
      </c>
      <c r="E1484" t="s">
        <v>36</v>
      </c>
      <c r="F1484" t="s">
        <v>3377</v>
      </c>
      <c r="G1484" t="str">
        <f>"00191879"</f>
        <v>00191879</v>
      </c>
      <c r="H1484">
        <v>57.6</v>
      </c>
      <c r="I1484">
        <v>0</v>
      </c>
      <c r="L1484">
        <v>4</v>
      </c>
      <c r="M1484">
        <v>4</v>
      </c>
      <c r="N1484">
        <v>4</v>
      </c>
      <c r="O1484">
        <v>2</v>
      </c>
      <c r="P1484">
        <v>67.599999999999994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C1484">
        <v>67.599999999999994</v>
      </c>
    </row>
    <row r="1485" spans="1:29">
      <c r="A1485">
        <v>1478</v>
      </c>
      <c r="B1485">
        <v>3097</v>
      </c>
      <c r="C1485" t="s">
        <v>3381</v>
      </c>
      <c r="D1485" t="s">
        <v>733</v>
      </c>
      <c r="E1485" t="s">
        <v>53</v>
      </c>
      <c r="F1485" t="s">
        <v>3382</v>
      </c>
      <c r="G1485" t="str">
        <f>"00856283"</f>
        <v>00856283</v>
      </c>
      <c r="H1485">
        <v>57.6</v>
      </c>
      <c r="I1485">
        <v>0</v>
      </c>
      <c r="L1485">
        <v>4</v>
      </c>
      <c r="M1485">
        <v>4</v>
      </c>
      <c r="N1485">
        <v>4</v>
      </c>
      <c r="O1485">
        <v>2</v>
      </c>
      <c r="P1485">
        <v>67.599999999999994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C1485">
        <v>67.599999999999994</v>
      </c>
    </row>
    <row r="1486" spans="1:29">
      <c r="A1486">
        <v>1479</v>
      </c>
      <c r="B1486">
        <v>1760</v>
      </c>
      <c r="C1486" t="s">
        <v>3360</v>
      </c>
      <c r="D1486" t="s">
        <v>3361</v>
      </c>
      <c r="E1486" t="s">
        <v>190</v>
      </c>
      <c r="F1486" t="s">
        <v>3362</v>
      </c>
      <c r="G1486" t="str">
        <f>"00859719"</f>
        <v>00859719</v>
      </c>
      <c r="H1486">
        <v>57.6</v>
      </c>
      <c r="I1486">
        <v>10</v>
      </c>
      <c r="M1486">
        <v>0</v>
      </c>
      <c r="N1486">
        <v>0</v>
      </c>
      <c r="O1486">
        <v>0</v>
      </c>
      <c r="P1486">
        <v>67.599999999999994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C1486">
        <v>67.599999999999994</v>
      </c>
    </row>
    <row r="1487" spans="1:29">
      <c r="A1487">
        <v>1480</v>
      </c>
      <c r="B1487">
        <v>1268</v>
      </c>
      <c r="C1487" t="s">
        <v>3374</v>
      </c>
      <c r="D1487" t="s">
        <v>98</v>
      </c>
      <c r="E1487" t="s">
        <v>15</v>
      </c>
      <c r="F1487" t="s">
        <v>3375</v>
      </c>
      <c r="G1487" t="str">
        <f>"00528678"</f>
        <v>00528678</v>
      </c>
      <c r="H1487">
        <v>57.6</v>
      </c>
      <c r="I1487">
        <v>0</v>
      </c>
      <c r="L1487">
        <v>4</v>
      </c>
      <c r="M1487">
        <v>4</v>
      </c>
      <c r="N1487">
        <v>4</v>
      </c>
      <c r="O1487">
        <v>2</v>
      </c>
      <c r="P1487">
        <v>67.599999999999994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C1487">
        <v>67.599999999999994</v>
      </c>
    </row>
    <row r="1488" spans="1:29">
      <c r="A1488">
        <v>1481</v>
      </c>
      <c r="B1488">
        <v>3817</v>
      </c>
      <c r="C1488" t="s">
        <v>3348</v>
      </c>
      <c r="D1488" t="s">
        <v>295</v>
      </c>
      <c r="E1488" t="s">
        <v>15</v>
      </c>
      <c r="F1488" t="s">
        <v>3349</v>
      </c>
      <c r="G1488" t="str">
        <f>"00609815"</f>
        <v>00609815</v>
      </c>
      <c r="H1488">
        <v>57.6</v>
      </c>
      <c r="I1488">
        <v>0</v>
      </c>
      <c r="L1488">
        <v>4</v>
      </c>
      <c r="M1488">
        <v>4</v>
      </c>
      <c r="N1488">
        <v>4</v>
      </c>
      <c r="O1488">
        <v>2</v>
      </c>
      <c r="P1488">
        <v>67.599999999999994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C1488">
        <v>67.599999999999994</v>
      </c>
    </row>
    <row r="1489" spans="1:29">
      <c r="A1489">
        <v>1482</v>
      </c>
      <c r="B1489">
        <v>3985</v>
      </c>
      <c r="C1489" t="s">
        <v>3346</v>
      </c>
      <c r="D1489" t="s">
        <v>2155</v>
      </c>
      <c r="E1489" t="s">
        <v>15</v>
      </c>
      <c r="F1489" t="s">
        <v>3347</v>
      </c>
      <c r="G1489" t="str">
        <f>"00544218"</f>
        <v>00544218</v>
      </c>
      <c r="H1489">
        <v>57.6</v>
      </c>
      <c r="I1489">
        <v>0</v>
      </c>
      <c r="L1489">
        <v>4</v>
      </c>
      <c r="M1489">
        <v>4</v>
      </c>
      <c r="N1489">
        <v>4</v>
      </c>
      <c r="O1489">
        <v>2</v>
      </c>
      <c r="P1489">
        <v>67.599999999999994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C1489">
        <v>67.599999999999994</v>
      </c>
    </row>
    <row r="1490" spans="1:29">
      <c r="A1490">
        <v>1483</v>
      </c>
      <c r="B1490">
        <v>781</v>
      </c>
      <c r="C1490" t="s">
        <v>3369</v>
      </c>
      <c r="D1490" t="s">
        <v>113</v>
      </c>
      <c r="E1490" t="s">
        <v>60</v>
      </c>
      <c r="F1490" t="s">
        <v>3370</v>
      </c>
      <c r="G1490" t="str">
        <f>"00566520"</f>
        <v>00566520</v>
      </c>
      <c r="H1490">
        <v>57.6</v>
      </c>
      <c r="I1490">
        <v>0</v>
      </c>
      <c r="L1490">
        <v>4</v>
      </c>
      <c r="M1490">
        <v>4</v>
      </c>
      <c r="N1490">
        <v>4</v>
      </c>
      <c r="O1490">
        <v>2</v>
      </c>
      <c r="P1490">
        <v>67.599999999999994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C1490">
        <v>67.599999999999994</v>
      </c>
    </row>
    <row r="1491" spans="1:29">
      <c r="A1491">
        <v>1484</v>
      </c>
      <c r="B1491">
        <v>1783</v>
      </c>
      <c r="C1491" t="s">
        <v>3367</v>
      </c>
      <c r="D1491" t="s">
        <v>248</v>
      </c>
      <c r="E1491" t="s">
        <v>134</v>
      </c>
      <c r="F1491" t="s">
        <v>3368</v>
      </c>
      <c r="G1491" t="str">
        <f>"00558342"</f>
        <v>00558342</v>
      </c>
      <c r="H1491">
        <v>57.6</v>
      </c>
      <c r="I1491">
        <v>0</v>
      </c>
      <c r="L1491">
        <v>4</v>
      </c>
      <c r="M1491">
        <v>4</v>
      </c>
      <c r="N1491">
        <v>4</v>
      </c>
      <c r="O1491">
        <v>2</v>
      </c>
      <c r="P1491">
        <v>67.599999999999994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C1491">
        <v>67.599999999999994</v>
      </c>
    </row>
    <row r="1492" spans="1:29">
      <c r="A1492">
        <v>1485</v>
      </c>
      <c r="B1492">
        <v>2211</v>
      </c>
      <c r="C1492" t="s">
        <v>3383</v>
      </c>
      <c r="D1492" t="s">
        <v>95</v>
      </c>
      <c r="E1492" t="s">
        <v>79</v>
      </c>
      <c r="F1492" t="s">
        <v>3384</v>
      </c>
      <c r="G1492" t="str">
        <f>"00560006"</f>
        <v>00560006</v>
      </c>
      <c r="H1492">
        <v>57.6</v>
      </c>
      <c r="I1492">
        <v>0</v>
      </c>
      <c r="L1492">
        <v>4</v>
      </c>
      <c r="M1492">
        <v>4</v>
      </c>
      <c r="N1492">
        <v>4</v>
      </c>
      <c r="O1492">
        <v>2</v>
      </c>
      <c r="P1492">
        <v>67.599999999999994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C1492">
        <v>67.599999999999994</v>
      </c>
    </row>
    <row r="1493" spans="1:29">
      <c r="A1493">
        <v>1486</v>
      </c>
      <c r="B1493">
        <v>3225</v>
      </c>
      <c r="C1493" t="s">
        <v>3358</v>
      </c>
      <c r="D1493" t="s">
        <v>113</v>
      </c>
      <c r="E1493" t="s">
        <v>237</v>
      </c>
      <c r="F1493" t="s">
        <v>3359</v>
      </c>
      <c r="G1493" t="str">
        <f>"00191459"</f>
        <v>00191459</v>
      </c>
      <c r="H1493">
        <v>57.6</v>
      </c>
      <c r="I1493">
        <v>0</v>
      </c>
      <c r="L1493">
        <v>4</v>
      </c>
      <c r="M1493">
        <v>4</v>
      </c>
      <c r="N1493">
        <v>4</v>
      </c>
      <c r="O1493">
        <v>2</v>
      </c>
      <c r="P1493">
        <v>67.599999999999994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C1493">
        <v>67.599999999999994</v>
      </c>
    </row>
    <row r="1494" spans="1:29">
      <c r="A1494">
        <v>1487</v>
      </c>
      <c r="B1494">
        <v>277</v>
      </c>
      <c r="C1494" t="s">
        <v>3356</v>
      </c>
      <c r="D1494" t="s">
        <v>27</v>
      </c>
      <c r="E1494" t="s">
        <v>1527</v>
      </c>
      <c r="F1494" t="s">
        <v>3357</v>
      </c>
      <c r="G1494" t="str">
        <f>"00529967"</f>
        <v>00529967</v>
      </c>
      <c r="H1494">
        <v>57.6</v>
      </c>
      <c r="I1494">
        <v>0</v>
      </c>
      <c r="J1494">
        <v>8</v>
      </c>
      <c r="M1494">
        <v>8</v>
      </c>
      <c r="N1494">
        <v>0</v>
      </c>
      <c r="O1494">
        <v>2</v>
      </c>
      <c r="P1494">
        <v>67.599999999999994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 t="s">
        <v>128</v>
      </c>
      <c r="AC1494">
        <v>67.599999999999994</v>
      </c>
    </row>
    <row r="1495" spans="1:29">
      <c r="A1495">
        <v>1488</v>
      </c>
      <c r="B1495">
        <v>4421</v>
      </c>
      <c r="C1495" t="s">
        <v>3385</v>
      </c>
      <c r="D1495" t="s">
        <v>276</v>
      </c>
      <c r="E1495" t="s">
        <v>15</v>
      </c>
      <c r="F1495" t="s">
        <v>3386</v>
      </c>
      <c r="G1495" t="str">
        <f>"00862309"</f>
        <v>00862309</v>
      </c>
      <c r="H1495">
        <v>57.6</v>
      </c>
      <c r="I1495">
        <v>0</v>
      </c>
      <c r="K1495">
        <v>6</v>
      </c>
      <c r="M1495">
        <v>6</v>
      </c>
      <c r="N1495">
        <v>4</v>
      </c>
      <c r="O1495">
        <v>0</v>
      </c>
      <c r="P1495">
        <v>67.599999999999994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C1495">
        <v>67.599999999999994</v>
      </c>
    </row>
    <row r="1496" spans="1:29">
      <c r="A1496">
        <v>1489</v>
      </c>
      <c r="B1496">
        <v>3846</v>
      </c>
      <c r="C1496" t="s">
        <v>3371</v>
      </c>
      <c r="D1496" t="s">
        <v>20</v>
      </c>
      <c r="E1496" t="s">
        <v>3372</v>
      </c>
      <c r="F1496" t="s">
        <v>3373</v>
      </c>
      <c r="G1496" t="str">
        <f>"00862861"</f>
        <v>00862861</v>
      </c>
      <c r="H1496">
        <v>57.6</v>
      </c>
      <c r="I1496">
        <v>0</v>
      </c>
      <c r="L1496">
        <v>4</v>
      </c>
      <c r="M1496">
        <v>4</v>
      </c>
      <c r="N1496">
        <v>4</v>
      </c>
      <c r="O1496">
        <v>2</v>
      </c>
      <c r="P1496">
        <v>67.599999999999994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C1496">
        <v>67.599999999999994</v>
      </c>
    </row>
    <row r="1497" spans="1:29">
      <c r="A1497">
        <v>1490</v>
      </c>
      <c r="B1497">
        <v>4525</v>
      </c>
      <c r="C1497" t="s">
        <v>3379</v>
      </c>
      <c r="D1497" t="s">
        <v>31</v>
      </c>
      <c r="E1497" t="s">
        <v>15</v>
      </c>
      <c r="F1497" t="s">
        <v>3380</v>
      </c>
      <c r="G1497" t="str">
        <f>"00636921"</f>
        <v>00636921</v>
      </c>
      <c r="H1497">
        <v>57.6</v>
      </c>
      <c r="I1497">
        <v>10</v>
      </c>
      <c r="M1497">
        <v>0</v>
      </c>
      <c r="N1497">
        <v>0</v>
      </c>
      <c r="O1497">
        <v>0</v>
      </c>
      <c r="P1497">
        <v>67.599999999999994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C1497">
        <v>67.599999999999994</v>
      </c>
    </row>
    <row r="1498" spans="1:29">
      <c r="A1498">
        <v>1491</v>
      </c>
      <c r="B1498">
        <v>421</v>
      </c>
      <c r="C1498" t="s">
        <v>3352</v>
      </c>
      <c r="D1498" t="s">
        <v>3353</v>
      </c>
      <c r="E1498" t="s">
        <v>3354</v>
      </c>
      <c r="F1498" t="s">
        <v>3355</v>
      </c>
      <c r="G1498" t="str">
        <f>"00557483"</f>
        <v>00557483</v>
      </c>
      <c r="H1498">
        <v>57.6</v>
      </c>
      <c r="I1498">
        <v>0</v>
      </c>
      <c r="L1498">
        <v>4</v>
      </c>
      <c r="M1498">
        <v>4</v>
      </c>
      <c r="N1498">
        <v>4</v>
      </c>
      <c r="O1498">
        <v>2</v>
      </c>
      <c r="P1498">
        <v>67.599999999999994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C1498">
        <v>67.599999999999994</v>
      </c>
    </row>
    <row r="1499" spans="1:29">
      <c r="A1499">
        <v>1492</v>
      </c>
      <c r="B1499">
        <v>541</v>
      </c>
      <c r="C1499" t="s">
        <v>178</v>
      </c>
      <c r="D1499" t="s">
        <v>39</v>
      </c>
      <c r="E1499" t="s">
        <v>165</v>
      </c>
      <c r="F1499" t="s">
        <v>3378</v>
      </c>
      <c r="G1499" t="str">
        <f>"00697716"</f>
        <v>00697716</v>
      </c>
      <c r="H1499">
        <v>57.6</v>
      </c>
      <c r="I1499">
        <v>10</v>
      </c>
      <c r="M1499">
        <v>0</v>
      </c>
      <c r="N1499">
        <v>0</v>
      </c>
      <c r="O1499">
        <v>0</v>
      </c>
      <c r="P1499">
        <v>67.599999999999994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C1499">
        <v>67.599999999999994</v>
      </c>
    </row>
    <row r="1500" spans="1:29">
      <c r="A1500">
        <v>1493</v>
      </c>
      <c r="B1500">
        <v>4273</v>
      </c>
      <c r="C1500" t="s">
        <v>3363</v>
      </c>
      <c r="D1500" t="s">
        <v>52</v>
      </c>
      <c r="E1500" t="s">
        <v>122</v>
      </c>
      <c r="F1500" t="s">
        <v>3364</v>
      </c>
      <c r="G1500" t="str">
        <f>"00858929"</f>
        <v>00858929</v>
      </c>
      <c r="H1500">
        <v>57.6</v>
      </c>
      <c r="I1500">
        <v>0</v>
      </c>
      <c r="L1500">
        <v>4</v>
      </c>
      <c r="M1500">
        <v>4</v>
      </c>
      <c r="N1500">
        <v>4</v>
      </c>
      <c r="O1500">
        <v>2</v>
      </c>
      <c r="P1500">
        <v>67.599999999999994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C1500">
        <v>67.599999999999994</v>
      </c>
    </row>
    <row r="1501" spans="1:29">
      <c r="A1501">
        <v>1494</v>
      </c>
      <c r="B1501">
        <v>1957</v>
      </c>
      <c r="C1501" t="s">
        <v>3190</v>
      </c>
      <c r="D1501" t="s">
        <v>352</v>
      </c>
      <c r="E1501" t="s">
        <v>3344</v>
      </c>
      <c r="F1501" t="s">
        <v>3345</v>
      </c>
      <c r="G1501" t="str">
        <f>"00855696"</f>
        <v>00855696</v>
      </c>
      <c r="H1501">
        <v>57.6</v>
      </c>
      <c r="I1501">
        <v>0</v>
      </c>
      <c r="L1501">
        <v>4</v>
      </c>
      <c r="M1501">
        <v>4</v>
      </c>
      <c r="N1501">
        <v>4</v>
      </c>
      <c r="O1501">
        <v>2</v>
      </c>
      <c r="P1501">
        <v>67.599999999999994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0</v>
      </c>
      <c r="AC1501">
        <v>67.599999999999994</v>
      </c>
    </row>
    <row r="1502" spans="1:29">
      <c r="A1502">
        <v>1495</v>
      </c>
      <c r="B1502">
        <v>1118</v>
      </c>
      <c r="C1502" t="s">
        <v>3365</v>
      </c>
      <c r="D1502" t="s">
        <v>739</v>
      </c>
      <c r="E1502" t="s">
        <v>60</v>
      </c>
      <c r="F1502" t="s">
        <v>3366</v>
      </c>
      <c r="G1502" t="str">
        <f>"00109598"</f>
        <v>00109598</v>
      </c>
      <c r="H1502">
        <v>57.6</v>
      </c>
      <c r="I1502">
        <v>0</v>
      </c>
      <c r="L1502">
        <v>4</v>
      </c>
      <c r="M1502">
        <v>4</v>
      </c>
      <c r="N1502">
        <v>4</v>
      </c>
      <c r="O1502">
        <v>2</v>
      </c>
      <c r="P1502">
        <v>67.599999999999994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C1502">
        <v>67.599999999999994</v>
      </c>
    </row>
    <row r="1503" spans="1:29">
      <c r="A1503">
        <v>1496</v>
      </c>
      <c r="B1503">
        <v>4309</v>
      </c>
      <c r="C1503" t="s">
        <v>945</v>
      </c>
      <c r="D1503" t="s">
        <v>39</v>
      </c>
      <c r="E1503" t="s">
        <v>15</v>
      </c>
      <c r="F1503" t="s">
        <v>3387</v>
      </c>
      <c r="G1503" t="str">
        <f>"00528178"</f>
        <v>00528178</v>
      </c>
      <c r="H1503">
        <v>21.6</v>
      </c>
      <c r="I1503">
        <v>0</v>
      </c>
      <c r="L1503">
        <v>4</v>
      </c>
      <c r="M1503">
        <v>4</v>
      </c>
      <c r="N1503">
        <v>4</v>
      </c>
      <c r="O1503">
        <v>0</v>
      </c>
      <c r="P1503">
        <v>29.6</v>
      </c>
      <c r="Q1503">
        <v>38</v>
      </c>
      <c r="R1503">
        <v>38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38</v>
      </c>
      <c r="Z1503">
        <v>0</v>
      </c>
      <c r="AA1503">
        <v>0</v>
      </c>
      <c r="AC1503">
        <v>67.599999999999994</v>
      </c>
    </row>
    <row r="1504" spans="1:29">
      <c r="A1504">
        <v>1497</v>
      </c>
      <c r="B1504">
        <v>3981</v>
      </c>
      <c r="C1504" t="s">
        <v>3388</v>
      </c>
      <c r="D1504" t="s">
        <v>210</v>
      </c>
      <c r="E1504" t="s">
        <v>79</v>
      </c>
      <c r="F1504" t="s">
        <v>3389</v>
      </c>
      <c r="G1504" t="str">
        <f>"00041410"</f>
        <v>00041410</v>
      </c>
      <c r="H1504">
        <v>38.4</v>
      </c>
      <c r="I1504">
        <v>10</v>
      </c>
      <c r="L1504">
        <v>4</v>
      </c>
      <c r="M1504">
        <v>4</v>
      </c>
      <c r="N1504">
        <v>4</v>
      </c>
      <c r="O1504">
        <v>2</v>
      </c>
      <c r="P1504">
        <v>58.4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9</v>
      </c>
      <c r="AA1504">
        <v>0</v>
      </c>
      <c r="AC1504">
        <v>67.400000000000006</v>
      </c>
    </row>
    <row r="1505" spans="1:29">
      <c r="A1505">
        <v>1498</v>
      </c>
      <c r="B1505">
        <v>3677</v>
      </c>
      <c r="C1505" t="s">
        <v>3390</v>
      </c>
      <c r="D1505" t="s">
        <v>3193</v>
      </c>
      <c r="E1505" t="s">
        <v>904</v>
      </c>
      <c r="F1505" t="s">
        <v>3391</v>
      </c>
      <c r="G1505" t="str">
        <f>"201511004434"</f>
        <v>201511004434</v>
      </c>
      <c r="H1505">
        <v>31.4</v>
      </c>
      <c r="I1505">
        <v>10</v>
      </c>
      <c r="M1505">
        <v>0</v>
      </c>
      <c r="N1505">
        <v>4</v>
      </c>
      <c r="O1505">
        <v>2</v>
      </c>
      <c r="P1505">
        <v>47.4</v>
      </c>
      <c r="Q1505">
        <v>14</v>
      </c>
      <c r="R1505">
        <v>14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14</v>
      </c>
      <c r="Z1505">
        <v>6</v>
      </c>
      <c r="AA1505">
        <v>0</v>
      </c>
      <c r="AC1505">
        <v>67.400000000000006</v>
      </c>
    </row>
    <row r="1506" spans="1:29">
      <c r="A1506">
        <v>1499</v>
      </c>
      <c r="B1506">
        <v>1265</v>
      </c>
      <c r="C1506" t="s">
        <v>3394</v>
      </c>
      <c r="D1506" t="s">
        <v>27</v>
      </c>
      <c r="E1506" t="s">
        <v>3395</v>
      </c>
      <c r="F1506" t="s">
        <v>3396</v>
      </c>
      <c r="G1506" t="str">
        <f>"00689196"</f>
        <v>00689196</v>
      </c>
      <c r="H1506">
        <v>50.4</v>
      </c>
      <c r="I1506">
        <v>0</v>
      </c>
      <c r="J1506">
        <v>8</v>
      </c>
      <c r="M1506">
        <v>8</v>
      </c>
      <c r="N1506">
        <v>4</v>
      </c>
      <c r="O1506">
        <v>2</v>
      </c>
      <c r="P1506">
        <v>64.400000000000006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3</v>
      </c>
      <c r="AA1506">
        <v>0</v>
      </c>
      <c r="AC1506">
        <v>67.400000000000006</v>
      </c>
    </row>
    <row r="1507" spans="1:29">
      <c r="A1507">
        <v>1500</v>
      </c>
      <c r="B1507">
        <v>1631</v>
      </c>
      <c r="C1507" t="s">
        <v>3404</v>
      </c>
      <c r="D1507" t="s">
        <v>3405</v>
      </c>
      <c r="E1507" t="s">
        <v>369</v>
      </c>
      <c r="F1507" t="s">
        <v>3406</v>
      </c>
      <c r="G1507" t="str">
        <f>"00123402"</f>
        <v>00123402</v>
      </c>
      <c r="H1507">
        <v>50.4</v>
      </c>
      <c r="I1507">
        <v>10</v>
      </c>
      <c r="M1507">
        <v>0</v>
      </c>
      <c r="N1507">
        <v>4</v>
      </c>
      <c r="O1507">
        <v>0</v>
      </c>
      <c r="P1507">
        <v>64.400000000000006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3</v>
      </c>
      <c r="AA1507">
        <v>0</v>
      </c>
      <c r="AC1507">
        <v>67.400000000000006</v>
      </c>
    </row>
    <row r="1508" spans="1:29">
      <c r="A1508">
        <v>1501</v>
      </c>
      <c r="B1508">
        <v>2970</v>
      </c>
      <c r="C1508" t="s">
        <v>3397</v>
      </c>
      <c r="D1508" t="s">
        <v>3398</v>
      </c>
      <c r="E1508" t="s">
        <v>115</v>
      </c>
      <c r="F1508" t="s">
        <v>3399</v>
      </c>
      <c r="G1508" t="str">
        <f>"00142749"</f>
        <v>00142749</v>
      </c>
      <c r="H1508">
        <v>50.4</v>
      </c>
      <c r="I1508">
        <v>0</v>
      </c>
      <c r="J1508">
        <v>8</v>
      </c>
      <c r="M1508">
        <v>8</v>
      </c>
      <c r="N1508">
        <v>4</v>
      </c>
      <c r="O1508">
        <v>2</v>
      </c>
      <c r="P1508">
        <v>64.400000000000006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3</v>
      </c>
      <c r="AA1508">
        <v>0</v>
      </c>
      <c r="AB1508" t="s">
        <v>128</v>
      </c>
      <c r="AC1508">
        <v>67.400000000000006</v>
      </c>
    </row>
    <row r="1509" spans="1:29">
      <c r="A1509">
        <v>1502</v>
      </c>
      <c r="B1509">
        <v>1389</v>
      </c>
      <c r="C1509" t="s">
        <v>3402</v>
      </c>
      <c r="D1509" t="s">
        <v>473</v>
      </c>
      <c r="E1509" t="s">
        <v>79</v>
      </c>
      <c r="F1509" t="s">
        <v>3403</v>
      </c>
      <c r="G1509" t="str">
        <f>"00856253"</f>
        <v>00856253</v>
      </c>
      <c r="H1509">
        <v>50.4</v>
      </c>
      <c r="I1509">
        <v>0</v>
      </c>
      <c r="J1509">
        <v>8</v>
      </c>
      <c r="M1509">
        <v>8</v>
      </c>
      <c r="N1509">
        <v>4</v>
      </c>
      <c r="O1509">
        <v>2</v>
      </c>
      <c r="P1509">
        <v>64.400000000000006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3</v>
      </c>
      <c r="AA1509">
        <v>0</v>
      </c>
      <c r="AC1509">
        <v>67.400000000000006</v>
      </c>
    </row>
    <row r="1510" spans="1:29">
      <c r="A1510">
        <v>1503</v>
      </c>
      <c r="B1510">
        <v>4001</v>
      </c>
      <c r="C1510" t="s">
        <v>3392</v>
      </c>
      <c r="D1510" t="s">
        <v>95</v>
      </c>
      <c r="E1510" t="s">
        <v>18</v>
      </c>
      <c r="F1510" t="s">
        <v>3393</v>
      </c>
      <c r="G1510" t="str">
        <f>"201604004089"</f>
        <v>201604004089</v>
      </c>
      <c r="H1510">
        <v>50.4</v>
      </c>
      <c r="I1510">
        <v>0</v>
      </c>
      <c r="J1510">
        <v>8</v>
      </c>
      <c r="M1510">
        <v>8</v>
      </c>
      <c r="N1510">
        <v>4</v>
      </c>
      <c r="O1510">
        <v>2</v>
      </c>
      <c r="P1510">
        <v>64.400000000000006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3</v>
      </c>
      <c r="AA1510">
        <v>0</v>
      </c>
      <c r="AC1510">
        <v>67.400000000000006</v>
      </c>
    </row>
    <row r="1511" spans="1:29">
      <c r="A1511">
        <v>1504</v>
      </c>
      <c r="B1511">
        <v>1713</v>
      </c>
      <c r="C1511" t="s">
        <v>3400</v>
      </c>
      <c r="D1511" t="s">
        <v>733</v>
      </c>
      <c r="E1511" t="s">
        <v>79</v>
      </c>
      <c r="F1511" t="s">
        <v>3401</v>
      </c>
      <c r="G1511" t="str">
        <f>"00615402"</f>
        <v>00615402</v>
      </c>
      <c r="H1511">
        <v>50.4</v>
      </c>
      <c r="I1511">
        <v>0</v>
      </c>
      <c r="L1511">
        <v>8</v>
      </c>
      <c r="M1511">
        <v>8</v>
      </c>
      <c r="N1511">
        <v>4</v>
      </c>
      <c r="O1511">
        <v>2</v>
      </c>
      <c r="P1511">
        <v>64.400000000000006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3</v>
      </c>
      <c r="AA1511">
        <v>0</v>
      </c>
      <c r="AC1511">
        <v>67.400000000000006</v>
      </c>
    </row>
    <row r="1512" spans="1:29">
      <c r="A1512">
        <v>1505</v>
      </c>
      <c r="B1512">
        <v>2154</v>
      </c>
      <c r="C1512" t="s">
        <v>3407</v>
      </c>
      <c r="D1512" t="s">
        <v>448</v>
      </c>
      <c r="E1512" t="s">
        <v>777</v>
      </c>
      <c r="F1512" t="s">
        <v>3408</v>
      </c>
      <c r="G1512" t="str">
        <f>"00500818"</f>
        <v>00500818</v>
      </c>
      <c r="H1512">
        <v>14.4</v>
      </c>
      <c r="I1512">
        <v>0</v>
      </c>
      <c r="J1512">
        <v>8</v>
      </c>
      <c r="M1512">
        <v>8</v>
      </c>
      <c r="N1512">
        <v>0</v>
      </c>
      <c r="O1512">
        <v>0</v>
      </c>
      <c r="P1512">
        <v>22.4</v>
      </c>
      <c r="Q1512">
        <v>45</v>
      </c>
      <c r="R1512">
        <v>45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45</v>
      </c>
      <c r="Z1512">
        <v>0</v>
      </c>
      <c r="AA1512">
        <v>0</v>
      </c>
      <c r="AC1512">
        <v>67.400000000000006</v>
      </c>
    </row>
    <row r="1513" spans="1:29">
      <c r="A1513">
        <v>1506</v>
      </c>
      <c r="B1513">
        <v>991</v>
      </c>
      <c r="C1513" t="s">
        <v>3414</v>
      </c>
      <c r="D1513" t="s">
        <v>179</v>
      </c>
      <c r="E1513" t="s">
        <v>60</v>
      </c>
      <c r="F1513" t="s">
        <v>3415</v>
      </c>
      <c r="G1513" t="str">
        <f>"00466048"</f>
        <v>00466048</v>
      </c>
      <c r="H1513">
        <v>43.2</v>
      </c>
      <c r="I1513">
        <v>10</v>
      </c>
      <c r="L1513">
        <v>4</v>
      </c>
      <c r="M1513">
        <v>4</v>
      </c>
      <c r="N1513">
        <v>4</v>
      </c>
      <c r="O1513">
        <v>0</v>
      </c>
      <c r="P1513">
        <v>61.2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6</v>
      </c>
      <c r="AA1513">
        <v>0</v>
      </c>
      <c r="AC1513">
        <v>67.2</v>
      </c>
    </row>
    <row r="1514" spans="1:29">
      <c r="A1514">
        <v>1507</v>
      </c>
      <c r="B1514">
        <v>889</v>
      </c>
      <c r="C1514" t="s">
        <v>3409</v>
      </c>
      <c r="D1514" t="s">
        <v>27</v>
      </c>
      <c r="E1514" t="s">
        <v>3410</v>
      </c>
      <c r="F1514" t="s">
        <v>3411</v>
      </c>
      <c r="G1514" t="str">
        <f>"00354813"</f>
        <v>00354813</v>
      </c>
      <c r="H1514">
        <v>43.2</v>
      </c>
      <c r="I1514">
        <v>10</v>
      </c>
      <c r="L1514">
        <v>4</v>
      </c>
      <c r="M1514">
        <v>4</v>
      </c>
      <c r="N1514">
        <v>4</v>
      </c>
      <c r="O1514">
        <v>0</v>
      </c>
      <c r="P1514">
        <v>61.2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6</v>
      </c>
      <c r="AA1514">
        <v>0</v>
      </c>
      <c r="AC1514">
        <v>67.2</v>
      </c>
    </row>
    <row r="1515" spans="1:29">
      <c r="A1515">
        <v>1508</v>
      </c>
      <c r="B1515">
        <v>3139</v>
      </c>
      <c r="C1515" t="s">
        <v>3412</v>
      </c>
      <c r="D1515" t="s">
        <v>216</v>
      </c>
      <c r="E1515" t="s">
        <v>777</v>
      </c>
      <c r="F1515" t="s">
        <v>3413</v>
      </c>
      <c r="G1515" t="str">
        <f>"00503580"</f>
        <v>00503580</v>
      </c>
      <c r="H1515">
        <v>43.2</v>
      </c>
      <c r="I1515">
        <v>10</v>
      </c>
      <c r="L1515">
        <v>4</v>
      </c>
      <c r="M1515">
        <v>4</v>
      </c>
      <c r="N1515">
        <v>4</v>
      </c>
      <c r="O1515">
        <v>0</v>
      </c>
      <c r="P1515">
        <v>61.2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6</v>
      </c>
      <c r="AA1515">
        <v>0</v>
      </c>
      <c r="AC1515">
        <v>67.2</v>
      </c>
    </row>
    <row r="1516" spans="1:29">
      <c r="A1516">
        <v>1509</v>
      </c>
      <c r="B1516">
        <v>1769</v>
      </c>
      <c r="C1516" t="s">
        <v>2459</v>
      </c>
      <c r="D1516" t="s">
        <v>98</v>
      </c>
      <c r="E1516" t="s">
        <v>115</v>
      </c>
      <c r="F1516" t="s">
        <v>3416</v>
      </c>
      <c r="G1516" t="str">
        <f>"00093652"</f>
        <v>00093652</v>
      </c>
      <c r="H1516">
        <v>7.2</v>
      </c>
      <c r="I1516">
        <v>10</v>
      </c>
      <c r="M1516">
        <v>0</v>
      </c>
      <c r="N1516">
        <v>4</v>
      </c>
      <c r="O1516">
        <v>2</v>
      </c>
      <c r="P1516">
        <v>23.2</v>
      </c>
      <c r="Q1516">
        <v>41</v>
      </c>
      <c r="R1516">
        <v>41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41</v>
      </c>
      <c r="Z1516">
        <v>3</v>
      </c>
      <c r="AA1516">
        <v>0</v>
      </c>
      <c r="AC1516">
        <v>67.2</v>
      </c>
    </row>
    <row r="1517" spans="1:29">
      <c r="A1517">
        <v>1510</v>
      </c>
      <c r="B1517">
        <v>4679</v>
      </c>
      <c r="C1517" t="s">
        <v>3417</v>
      </c>
      <c r="D1517" t="s">
        <v>24</v>
      </c>
      <c r="E1517" t="s">
        <v>15</v>
      </c>
      <c r="F1517" t="s">
        <v>3418</v>
      </c>
      <c r="G1517" t="str">
        <f>"00512241"</f>
        <v>00512241</v>
      </c>
      <c r="H1517">
        <v>7.2</v>
      </c>
      <c r="I1517">
        <v>0</v>
      </c>
      <c r="J1517">
        <v>8</v>
      </c>
      <c r="M1517">
        <v>8</v>
      </c>
      <c r="N1517">
        <v>4</v>
      </c>
      <c r="O1517">
        <v>0</v>
      </c>
      <c r="P1517">
        <v>19.2</v>
      </c>
      <c r="Q1517">
        <v>45</v>
      </c>
      <c r="R1517">
        <v>45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45</v>
      </c>
      <c r="Z1517">
        <v>3</v>
      </c>
      <c r="AA1517">
        <v>0</v>
      </c>
      <c r="AC1517">
        <v>67.2</v>
      </c>
    </row>
    <row r="1518" spans="1:29">
      <c r="A1518">
        <v>1511</v>
      </c>
      <c r="B1518">
        <v>4202</v>
      </c>
      <c r="C1518" t="s">
        <v>3419</v>
      </c>
      <c r="D1518" t="s">
        <v>95</v>
      </c>
      <c r="E1518" t="s">
        <v>15</v>
      </c>
      <c r="F1518" t="s">
        <v>3420</v>
      </c>
      <c r="G1518" t="str">
        <f>"00723727"</f>
        <v>00723727</v>
      </c>
      <c r="H1518">
        <v>43.2</v>
      </c>
      <c r="I1518">
        <v>10</v>
      </c>
      <c r="J1518">
        <v>8</v>
      </c>
      <c r="M1518">
        <v>8</v>
      </c>
      <c r="N1518">
        <v>4</v>
      </c>
      <c r="O1518">
        <v>2</v>
      </c>
      <c r="P1518">
        <v>67.2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C1518">
        <v>67.2</v>
      </c>
    </row>
    <row r="1519" spans="1:29">
      <c r="A1519">
        <v>1512</v>
      </c>
      <c r="B1519">
        <v>1448</v>
      </c>
      <c r="C1519" t="s">
        <v>3421</v>
      </c>
      <c r="D1519" t="s">
        <v>52</v>
      </c>
      <c r="E1519" t="s">
        <v>15</v>
      </c>
      <c r="F1519" t="s">
        <v>3422</v>
      </c>
      <c r="G1519" t="str">
        <f>"00107099"</f>
        <v>00107099</v>
      </c>
      <c r="H1519">
        <v>43.2</v>
      </c>
      <c r="I1519">
        <v>0</v>
      </c>
      <c r="M1519">
        <v>0</v>
      </c>
      <c r="N1519">
        <v>4</v>
      </c>
      <c r="O1519">
        <v>0</v>
      </c>
      <c r="P1519">
        <v>47.2</v>
      </c>
      <c r="Q1519">
        <v>20</v>
      </c>
      <c r="R1519">
        <v>20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20</v>
      </c>
      <c r="Z1519">
        <v>0</v>
      </c>
      <c r="AA1519">
        <v>0</v>
      </c>
      <c r="AC1519">
        <v>67.2</v>
      </c>
    </row>
    <row r="1520" spans="1:29">
      <c r="A1520">
        <v>1513</v>
      </c>
      <c r="B1520">
        <v>3280</v>
      </c>
      <c r="C1520" t="s">
        <v>3423</v>
      </c>
      <c r="D1520" t="s">
        <v>336</v>
      </c>
      <c r="E1520" t="s">
        <v>134</v>
      </c>
      <c r="F1520" t="s">
        <v>3424</v>
      </c>
      <c r="G1520" t="str">
        <f>"201511015199"</f>
        <v>201511015199</v>
      </c>
      <c r="H1520">
        <v>40</v>
      </c>
      <c r="I1520">
        <v>10</v>
      </c>
      <c r="L1520">
        <v>4</v>
      </c>
      <c r="M1520">
        <v>4</v>
      </c>
      <c r="N1520">
        <v>4</v>
      </c>
      <c r="O1520">
        <v>0</v>
      </c>
      <c r="P1520">
        <v>58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9</v>
      </c>
      <c r="AA1520">
        <v>0</v>
      </c>
      <c r="AC1520">
        <v>67</v>
      </c>
    </row>
    <row r="1521" spans="1:29">
      <c r="A1521">
        <v>1514</v>
      </c>
      <c r="B1521">
        <v>765</v>
      </c>
      <c r="C1521" t="s">
        <v>3425</v>
      </c>
      <c r="D1521" t="s">
        <v>52</v>
      </c>
      <c r="E1521" t="s">
        <v>337</v>
      </c>
      <c r="F1521" t="s">
        <v>3426</v>
      </c>
      <c r="G1521" t="str">
        <f>"201209000004"</f>
        <v>201209000004</v>
      </c>
      <c r="H1521">
        <v>16</v>
      </c>
      <c r="I1521">
        <v>10</v>
      </c>
      <c r="J1521">
        <v>8</v>
      </c>
      <c r="M1521">
        <v>8</v>
      </c>
      <c r="N1521">
        <v>4</v>
      </c>
      <c r="O1521">
        <v>2</v>
      </c>
      <c r="P1521">
        <v>40</v>
      </c>
      <c r="Q1521">
        <v>21</v>
      </c>
      <c r="R1521">
        <v>21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21</v>
      </c>
      <c r="Z1521">
        <v>6</v>
      </c>
      <c r="AA1521">
        <v>0</v>
      </c>
      <c r="AC1521">
        <v>67</v>
      </c>
    </row>
    <row r="1522" spans="1:29">
      <c r="A1522">
        <v>1515</v>
      </c>
      <c r="B1522">
        <v>2712</v>
      </c>
      <c r="C1522" t="s">
        <v>3427</v>
      </c>
      <c r="D1522" t="s">
        <v>784</v>
      </c>
      <c r="E1522" t="s">
        <v>60</v>
      </c>
      <c r="F1522" t="s">
        <v>3428</v>
      </c>
      <c r="G1522" t="str">
        <f>"00163656"</f>
        <v>00163656</v>
      </c>
      <c r="H1522">
        <v>16</v>
      </c>
      <c r="I1522">
        <v>10</v>
      </c>
      <c r="M1522">
        <v>0</v>
      </c>
      <c r="N1522">
        <v>0</v>
      </c>
      <c r="O1522">
        <v>2</v>
      </c>
      <c r="P1522">
        <v>28</v>
      </c>
      <c r="Q1522">
        <v>33</v>
      </c>
      <c r="R1522">
        <v>33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33</v>
      </c>
      <c r="Z1522">
        <v>6</v>
      </c>
      <c r="AA1522">
        <v>0</v>
      </c>
      <c r="AC1522">
        <v>67</v>
      </c>
    </row>
    <row r="1523" spans="1:29">
      <c r="A1523">
        <v>1516</v>
      </c>
      <c r="B1523">
        <v>645</v>
      </c>
      <c r="C1523" t="s">
        <v>3429</v>
      </c>
      <c r="D1523" t="s">
        <v>2843</v>
      </c>
      <c r="E1523" t="s">
        <v>889</v>
      </c>
      <c r="F1523" t="s">
        <v>3430</v>
      </c>
      <c r="G1523" t="str">
        <f>"201402002861"</f>
        <v>201402002861</v>
      </c>
      <c r="H1523">
        <v>40</v>
      </c>
      <c r="I1523">
        <v>10</v>
      </c>
      <c r="L1523">
        <v>8</v>
      </c>
      <c r="M1523">
        <v>8</v>
      </c>
      <c r="N1523">
        <v>4</v>
      </c>
      <c r="O1523">
        <v>2</v>
      </c>
      <c r="P1523">
        <v>64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3</v>
      </c>
      <c r="AA1523">
        <v>0</v>
      </c>
      <c r="AC1523">
        <v>67</v>
      </c>
    </row>
    <row r="1524" spans="1:29">
      <c r="A1524">
        <v>1517</v>
      </c>
      <c r="B1524">
        <v>4741</v>
      </c>
      <c r="C1524" t="s">
        <v>2620</v>
      </c>
      <c r="D1524" t="s">
        <v>185</v>
      </c>
      <c r="E1524" t="s">
        <v>134</v>
      </c>
      <c r="F1524" t="s">
        <v>3431</v>
      </c>
      <c r="G1524" t="str">
        <f>"00620235"</f>
        <v>00620235</v>
      </c>
      <c r="H1524">
        <v>40</v>
      </c>
      <c r="I1524">
        <v>10</v>
      </c>
      <c r="J1524">
        <v>8</v>
      </c>
      <c r="M1524">
        <v>8</v>
      </c>
      <c r="N1524">
        <v>4</v>
      </c>
      <c r="O1524">
        <v>2</v>
      </c>
      <c r="P1524">
        <v>64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3</v>
      </c>
      <c r="AA1524">
        <v>0</v>
      </c>
      <c r="AC1524">
        <v>67</v>
      </c>
    </row>
    <row r="1525" spans="1:29">
      <c r="A1525">
        <v>1518</v>
      </c>
      <c r="B1525">
        <v>1279</v>
      </c>
      <c r="C1525" t="s">
        <v>3432</v>
      </c>
      <c r="D1525" t="s">
        <v>164</v>
      </c>
      <c r="E1525" t="s">
        <v>122</v>
      </c>
      <c r="F1525" t="s">
        <v>3433</v>
      </c>
      <c r="G1525" t="str">
        <f>"00513845"</f>
        <v>00513845</v>
      </c>
      <c r="H1525">
        <v>22.92</v>
      </c>
      <c r="I1525">
        <v>10</v>
      </c>
      <c r="M1525">
        <v>0</v>
      </c>
      <c r="N1525">
        <v>0</v>
      </c>
      <c r="O1525">
        <v>0</v>
      </c>
      <c r="P1525">
        <v>32.92</v>
      </c>
      <c r="Q1525">
        <v>28</v>
      </c>
      <c r="R1525">
        <v>28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28</v>
      </c>
      <c r="Z1525">
        <v>6</v>
      </c>
      <c r="AA1525">
        <v>0</v>
      </c>
      <c r="AC1525">
        <v>66.92</v>
      </c>
    </row>
    <row r="1526" spans="1:29">
      <c r="A1526">
        <v>1519</v>
      </c>
      <c r="B1526">
        <v>204</v>
      </c>
      <c r="C1526" t="s">
        <v>3434</v>
      </c>
      <c r="D1526" t="s">
        <v>1509</v>
      </c>
      <c r="E1526" t="s">
        <v>99</v>
      </c>
      <c r="F1526" t="s">
        <v>3435</v>
      </c>
      <c r="G1526" t="str">
        <f>"00234539"</f>
        <v>00234539</v>
      </c>
      <c r="H1526">
        <v>36.880000000000003</v>
      </c>
      <c r="I1526">
        <v>10</v>
      </c>
      <c r="J1526">
        <v>8</v>
      </c>
      <c r="M1526">
        <v>8</v>
      </c>
      <c r="N1526">
        <v>4</v>
      </c>
      <c r="O1526">
        <v>2</v>
      </c>
      <c r="P1526">
        <v>60.88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6</v>
      </c>
      <c r="AA1526">
        <v>0</v>
      </c>
      <c r="AC1526">
        <v>66.88</v>
      </c>
    </row>
    <row r="1527" spans="1:29">
      <c r="A1527">
        <v>1520</v>
      </c>
      <c r="B1527">
        <v>393</v>
      </c>
      <c r="C1527" t="s">
        <v>231</v>
      </c>
      <c r="D1527" t="s">
        <v>130</v>
      </c>
      <c r="E1527" t="s">
        <v>134</v>
      </c>
      <c r="F1527" t="s">
        <v>3436</v>
      </c>
      <c r="G1527" t="str">
        <f>"201511008658"</f>
        <v>201511008658</v>
      </c>
      <c r="H1527">
        <v>33.840000000000003</v>
      </c>
      <c r="I1527">
        <v>10</v>
      </c>
      <c r="M1527">
        <v>0</v>
      </c>
      <c r="N1527">
        <v>4</v>
      </c>
      <c r="O1527">
        <v>2</v>
      </c>
      <c r="P1527">
        <v>49.84</v>
      </c>
      <c r="Q1527">
        <v>14</v>
      </c>
      <c r="R1527">
        <v>14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14</v>
      </c>
      <c r="Z1527">
        <v>3</v>
      </c>
      <c r="AA1527">
        <v>0</v>
      </c>
      <c r="AC1527">
        <v>66.84</v>
      </c>
    </row>
    <row r="1528" spans="1:29">
      <c r="A1528">
        <v>1521</v>
      </c>
      <c r="B1528">
        <v>2080</v>
      </c>
      <c r="C1528" t="s">
        <v>3437</v>
      </c>
      <c r="D1528" t="s">
        <v>27</v>
      </c>
      <c r="E1528" t="s">
        <v>79</v>
      </c>
      <c r="F1528" t="s">
        <v>3438</v>
      </c>
      <c r="G1528" t="str">
        <f>"201401002341"</f>
        <v>201401002341</v>
      </c>
      <c r="H1528">
        <v>28.8</v>
      </c>
      <c r="I1528">
        <v>0</v>
      </c>
      <c r="J1528">
        <v>8</v>
      </c>
      <c r="M1528">
        <v>8</v>
      </c>
      <c r="N1528">
        <v>4</v>
      </c>
      <c r="O1528">
        <v>2</v>
      </c>
      <c r="P1528">
        <v>42.8</v>
      </c>
      <c r="Q1528">
        <v>18</v>
      </c>
      <c r="R1528">
        <v>18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18</v>
      </c>
      <c r="Z1528">
        <v>6</v>
      </c>
      <c r="AA1528">
        <v>0</v>
      </c>
      <c r="AC1528">
        <v>66.8</v>
      </c>
    </row>
    <row r="1529" spans="1:29">
      <c r="A1529">
        <v>1522</v>
      </c>
      <c r="B1529">
        <v>572</v>
      </c>
      <c r="C1529" t="s">
        <v>3439</v>
      </c>
      <c r="D1529" t="s">
        <v>24</v>
      </c>
      <c r="E1529" t="s">
        <v>379</v>
      </c>
      <c r="F1529" t="s">
        <v>3440</v>
      </c>
      <c r="G1529" t="str">
        <f>"00225375"</f>
        <v>00225375</v>
      </c>
      <c r="H1529">
        <v>28.8</v>
      </c>
      <c r="I1529">
        <v>0</v>
      </c>
      <c r="L1529">
        <v>4</v>
      </c>
      <c r="M1529">
        <v>4</v>
      </c>
      <c r="N1529">
        <v>4</v>
      </c>
      <c r="O1529">
        <v>2</v>
      </c>
      <c r="P1529">
        <v>38.799999999999997</v>
      </c>
      <c r="Q1529">
        <v>22</v>
      </c>
      <c r="R1529">
        <v>22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22</v>
      </c>
      <c r="Z1529">
        <v>6</v>
      </c>
      <c r="AA1529">
        <v>0</v>
      </c>
      <c r="AC1529">
        <v>66.8</v>
      </c>
    </row>
    <row r="1530" spans="1:29">
      <c r="A1530">
        <v>1523</v>
      </c>
      <c r="B1530">
        <v>1281</v>
      </c>
      <c r="C1530" t="s">
        <v>1631</v>
      </c>
      <c r="D1530" t="s">
        <v>27</v>
      </c>
      <c r="E1530" t="s">
        <v>1527</v>
      </c>
      <c r="F1530" t="s">
        <v>3441</v>
      </c>
      <c r="G1530" t="str">
        <f>"00533003"</f>
        <v>00533003</v>
      </c>
      <c r="H1530">
        <v>20.8</v>
      </c>
      <c r="I1530">
        <v>10</v>
      </c>
      <c r="K1530">
        <v>6</v>
      </c>
      <c r="M1530">
        <v>6</v>
      </c>
      <c r="N1530">
        <v>4</v>
      </c>
      <c r="O1530">
        <v>2</v>
      </c>
      <c r="P1530">
        <v>42.8</v>
      </c>
      <c r="Q1530">
        <v>15</v>
      </c>
      <c r="R1530">
        <v>15</v>
      </c>
      <c r="S1530">
        <v>3</v>
      </c>
      <c r="T1530">
        <v>6</v>
      </c>
      <c r="U1530">
        <v>0</v>
      </c>
      <c r="V1530">
        <v>0</v>
      </c>
      <c r="W1530">
        <v>0</v>
      </c>
      <c r="X1530">
        <v>0</v>
      </c>
      <c r="Y1530">
        <v>21</v>
      </c>
      <c r="Z1530">
        <v>3</v>
      </c>
      <c r="AA1530">
        <v>0</v>
      </c>
      <c r="AC1530">
        <v>66.8</v>
      </c>
    </row>
    <row r="1531" spans="1:29">
      <c r="A1531">
        <v>1524</v>
      </c>
      <c r="B1531">
        <v>4105</v>
      </c>
      <c r="C1531" t="s">
        <v>3442</v>
      </c>
      <c r="D1531" t="s">
        <v>159</v>
      </c>
      <c r="E1531" t="s">
        <v>28</v>
      </c>
      <c r="F1531" t="s">
        <v>3443</v>
      </c>
      <c r="G1531" t="str">
        <f>"00858647"</f>
        <v>00858647</v>
      </c>
      <c r="H1531">
        <v>64.8</v>
      </c>
      <c r="I1531">
        <v>0</v>
      </c>
      <c r="M1531">
        <v>0</v>
      </c>
      <c r="N1531">
        <v>0</v>
      </c>
      <c r="O1531">
        <v>2</v>
      </c>
      <c r="P1531">
        <v>66.8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C1531">
        <v>66.8</v>
      </c>
    </row>
    <row r="1532" spans="1:29">
      <c r="A1532">
        <v>1525</v>
      </c>
      <c r="B1532">
        <v>477</v>
      </c>
      <c r="C1532" t="s">
        <v>3444</v>
      </c>
      <c r="D1532" t="s">
        <v>39</v>
      </c>
      <c r="E1532" t="s">
        <v>18</v>
      </c>
      <c r="F1532" t="s">
        <v>3445</v>
      </c>
      <c r="G1532" t="str">
        <f>"00856436"</f>
        <v>00856436</v>
      </c>
      <c r="H1532">
        <v>64.8</v>
      </c>
      <c r="I1532">
        <v>0</v>
      </c>
      <c r="M1532">
        <v>0</v>
      </c>
      <c r="N1532">
        <v>0</v>
      </c>
      <c r="O1532">
        <v>2</v>
      </c>
      <c r="P1532">
        <v>66.8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0</v>
      </c>
      <c r="AC1532">
        <v>66.8</v>
      </c>
    </row>
    <row r="1533" spans="1:29">
      <c r="A1533">
        <v>1526</v>
      </c>
      <c r="B1533">
        <v>3129</v>
      </c>
      <c r="C1533" t="s">
        <v>3446</v>
      </c>
      <c r="D1533" t="s">
        <v>210</v>
      </c>
      <c r="E1533" t="s">
        <v>621</v>
      </c>
      <c r="F1533" t="s">
        <v>3447</v>
      </c>
      <c r="G1533" t="str">
        <f>"201406012890"</f>
        <v>201406012890</v>
      </c>
      <c r="H1533">
        <v>28.8</v>
      </c>
      <c r="I1533">
        <v>10</v>
      </c>
      <c r="L1533">
        <v>4</v>
      </c>
      <c r="M1533">
        <v>4</v>
      </c>
      <c r="N1533">
        <v>4</v>
      </c>
      <c r="O1533">
        <v>2</v>
      </c>
      <c r="P1533">
        <v>48.8</v>
      </c>
      <c r="Q1533">
        <v>18</v>
      </c>
      <c r="R1533">
        <v>18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18</v>
      </c>
      <c r="Z1533">
        <v>0</v>
      </c>
      <c r="AA1533">
        <v>0</v>
      </c>
      <c r="AC1533">
        <v>66.8</v>
      </c>
    </row>
    <row r="1534" spans="1:29">
      <c r="A1534">
        <v>1527</v>
      </c>
      <c r="B1534">
        <v>764</v>
      </c>
      <c r="C1534" t="s">
        <v>3448</v>
      </c>
      <c r="D1534" t="s">
        <v>39</v>
      </c>
      <c r="E1534" t="s">
        <v>15</v>
      </c>
      <c r="F1534" t="s">
        <v>3449</v>
      </c>
      <c r="G1534" t="str">
        <f>"00326154"</f>
        <v>00326154</v>
      </c>
      <c r="H1534">
        <v>57.6</v>
      </c>
      <c r="I1534">
        <v>0</v>
      </c>
      <c r="M1534">
        <v>0</v>
      </c>
      <c r="N1534">
        <v>0</v>
      </c>
      <c r="O1534">
        <v>0</v>
      </c>
      <c r="P1534">
        <v>57.6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v>9</v>
      </c>
      <c r="AA1534">
        <v>0</v>
      </c>
      <c r="AC1534">
        <v>66.599999999999994</v>
      </c>
    </row>
    <row r="1535" spans="1:29">
      <c r="A1535">
        <v>1528</v>
      </c>
      <c r="B1535">
        <v>2456</v>
      </c>
      <c r="C1535" t="s">
        <v>3450</v>
      </c>
      <c r="D1535" t="s">
        <v>465</v>
      </c>
      <c r="E1535" t="s">
        <v>233</v>
      </c>
      <c r="F1535" t="s">
        <v>3451</v>
      </c>
      <c r="G1535" t="str">
        <f>"00247302"</f>
        <v>00247302</v>
      </c>
      <c r="H1535">
        <v>37.6</v>
      </c>
      <c r="I1535">
        <v>10</v>
      </c>
      <c r="L1535">
        <v>4</v>
      </c>
      <c r="M1535">
        <v>4</v>
      </c>
      <c r="N1535">
        <v>4</v>
      </c>
      <c r="O1535">
        <v>2</v>
      </c>
      <c r="P1535">
        <v>57.6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9</v>
      </c>
      <c r="AA1535">
        <v>0</v>
      </c>
      <c r="AC1535">
        <v>66.599999999999994</v>
      </c>
    </row>
    <row r="1536" spans="1:29">
      <c r="A1536">
        <v>1529</v>
      </c>
      <c r="B1536">
        <v>4347</v>
      </c>
      <c r="C1536" t="s">
        <v>3452</v>
      </c>
      <c r="D1536" t="s">
        <v>332</v>
      </c>
      <c r="E1536" t="s">
        <v>3453</v>
      </c>
      <c r="F1536" t="s">
        <v>3454</v>
      </c>
      <c r="G1536" t="str">
        <f>"00196543"</f>
        <v>00196543</v>
      </c>
      <c r="H1536">
        <v>57.6</v>
      </c>
      <c r="I1536">
        <v>0</v>
      </c>
      <c r="M1536">
        <v>0</v>
      </c>
      <c r="N1536">
        <v>4</v>
      </c>
      <c r="O1536">
        <v>2</v>
      </c>
      <c r="P1536">
        <v>63.6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3</v>
      </c>
      <c r="AA1536">
        <v>0</v>
      </c>
      <c r="AC1536">
        <v>66.599999999999994</v>
      </c>
    </row>
    <row r="1537" spans="1:29">
      <c r="A1537">
        <v>1530</v>
      </c>
      <c r="B1537">
        <v>4784</v>
      </c>
      <c r="C1537" t="s">
        <v>3455</v>
      </c>
      <c r="D1537" t="s">
        <v>3456</v>
      </c>
      <c r="E1537" t="s">
        <v>3457</v>
      </c>
      <c r="F1537" t="s">
        <v>3458</v>
      </c>
      <c r="G1537" t="str">
        <f>"00865413"</f>
        <v>00865413</v>
      </c>
      <c r="H1537">
        <v>57.6</v>
      </c>
      <c r="I1537">
        <v>0</v>
      </c>
      <c r="L1537">
        <v>4</v>
      </c>
      <c r="M1537">
        <v>4</v>
      </c>
      <c r="N1537">
        <v>0</v>
      </c>
      <c r="O1537">
        <v>2</v>
      </c>
      <c r="P1537">
        <v>63.6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3</v>
      </c>
      <c r="AA1537">
        <v>0</v>
      </c>
      <c r="AC1537">
        <v>66.599999999999994</v>
      </c>
    </row>
    <row r="1538" spans="1:29">
      <c r="A1538">
        <v>1531</v>
      </c>
      <c r="B1538">
        <v>3887</v>
      </c>
      <c r="C1538" t="s">
        <v>3459</v>
      </c>
      <c r="D1538" t="s">
        <v>164</v>
      </c>
      <c r="E1538" t="s">
        <v>66</v>
      </c>
      <c r="F1538" t="s">
        <v>3460</v>
      </c>
      <c r="G1538" t="str">
        <f>"00160795"</f>
        <v>00160795</v>
      </c>
      <c r="H1538">
        <v>57.6</v>
      </c>
      <c r="I1538">
        <v>0</v>
      </c>
      <c r="L1538">
        <v>4</v>
      </c>
      <c r="M1538">
        <v>4</v>
      </c>
      <c r="N1538">
        <v>0</v>
      </c>
      <c r="O1538">
        <v>2</v>
      </c>
      <c r="P1538">
        <v>63.6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3</v>
      </c>
      <c r="AA1538">
        <v>0</v>
      </c>
      <c r="AC1538">
        <v>66.599999999999994</v>
      </c>
    </row>
    <row r="1539" spans="1:29">
      <c r="A1539">
        <v>1532</v>
      </c>
      <c r="B1539">
        <v>3751</v>
      </c>
      <c r="C1539" t="s">
        <v>3461</v>
      </c>
      <c r="D1539" t="s">
        <v>433</v>
      </c>
      <c r="E1539" t="s">
        <v>122</v>
      </c>
      <c r="F1539" t="s">
        <v>3462</v>
      </c>
      <c r="G1539" t="str">
        <f>"201505000243"</f>
        <v>201505000243</v>
      </c>
      <c r="H1539">
        <v>39.6</v>
      </c>
      <c r="I1539">
        <v>10</v>
      </c>
      <c r="J1539">
        <v>8</v>
      </c>
      <c r="M1539">
        <v>8</v>
      </c>
      <c r="N1539">
        <v>4</v>
      </c>
      <c r="O1539">
        <v>2</v>
      </c>
      <c r="P1539">
        <v>63.6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3</v>
      </c>
      <c r="AA1539">
        <v>0</v>
      </c>
      <c r="AC1539">
        <v>66.599999999999994</v>
      </c>
    </row>
    <row r="1540" spans="1:29">
      <c r="A1540">
        <v>1533</v>
      </c>
      <c r="B1540">
        <v>1048</v>
      </c>
      <c r="C1540" t="s">
        <v>178</v>
      </c>
      <c r="D1540" t="s">
        <v>3463</v>
      </c>
      <c r="E1540" t="s">
        <v>379</v>
      </c>
      <c r="F1540" t="s">
        <v>3464</v>
      </c>
      <c r="G1540" t="str">
        <f>"00531130"</f>
        <v>00531130</v>
      </c>
      <c r="H1540">
        <v>21.6</v>
      </c>
      <c r="I1540">
        <v>10</v>
      </c>
      <c r="M1540">
        <v>0</v>
      </c>
      <c r="N1540">
        <v>4</v>
      </c>
      <c r="O1540">
        <v>2</v>
      </c>
      <c r="P1540">
        <v>37.6</v>
      </c>
      <c r="Q1540">
        <v>29</v>
      </c>
      <c r="R1540">
        <v>29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29</v>
      </c>
      <c r="Z1540">
        <v>0</v>
      </c>
      <c r="AA1540">
        <v>0</v>
      </c>
      <c r="AC1540">
        <v>66.599999999999994</v>
      </c>
    </row>
    <row r="1541" spans="1:29">
      <c r="A1541">
        <v>1534</v>
      </c>
      <c r="B1541">
        <v>4593</v>
      </c>
      <c r="C1541" t="s">
        <v>902</v>
      </c>
      <c r="D1541" t="s">
        <v>52</v>
      </c>
      <c r="E1541" t="s">
        <v>18</v>
      </c>
      <c r="F1541" t="s">
        <v>3465</v>
      </c>
      <c r="G1541" t="str">
        <f>"00532642"</f>
        <v>00532642</v>
      </c>
      <c r="H1541">
        <v>39.56</v>
      </c>
      <c r="I1541">
        <v>0</v>
      </c>
      <c r="M1541">
        <v>0</v>
      </c>
      <c r="N1541">
        <v>0</v>
      </c>
      <c r="O1541">
        <v>0</v>
      </c>
      <c r="P1541">
        <v>39.56</v>
      </c>
      <c r="Q1541">
        <v>24</v>
      </c>
      <c r="R1541">
        <v>24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24</v>
      </c>
      <c r="Z1541">
        <v>3</v>
      </c>
      <c r="AA1541">
        <v>0</v>
      </c>
      <c r="AC1541">
        <v>66.56</v>
      </c>
    </row>
    <row r="1542" spans="1:29">
      <c r="A1542">
        <v>1535</v>
      </c>
      <c r="B1542">
        <v>2201</v>
      </c>
      <c r="C1542" t="s">
        <v>3466</v>
      </c>
      <c r="D1542" t="s">
        <v>216</v>
      </c>
      <c r="E1542" t="s">
        <v>333</v>
      </c>
      <c r="F1542" t="s">
        <v>3467</v>
      </c>
      <c r="G1542" t="str">
        <f>"00442384"</f>
        <v>00442384</v>
      </c>
      <c r="H1542">
        <v>14.4</v>
      </c>
      <c r="I1542">
        <v>0</v>
      </c>
      <c r="M1542">
        <v>0</v>
      </c>
      <c r="N1542">
        <v>0</v>
      </c>
      <c r="O1542">
        <v>0</v>
      </c>
      <c r="P1542">
        <v>14.4</v>
      </c>
      <c r="Q1542">
        <v>43</v>
      </c>
      <c r="R1542">
        <v>43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43</v>
      </c>
      <c r="Z1542">
        <v>9</v>
      </c>
      <c r="AA1542">
        <v>0</v>
      </c>
      <c r="AC1542">
        <v>66.400000000000006</v>
      </c>
    </row>
    <row r="1543" spans="1:29">
      <c r="A1543">
        <v>1536</v>
      </c>
      <c r="B1543">
        <v>3818</v>
      </c>
      <c r="C1543" t="s">
        <v>3468</v>
      </c>
      <c r="D1543" t="s">
        <v>27</v>
      </c>
      <c r="E1543" t="s">
        <v>187</v>
      </c>
      <c r="F1543" t="s">
        <v>3469</v>
      </c>
      <c r="G1543" t="str">
        <f>"00513700"</f>
        <v>00513700</v>
      </c>
      <c r="H1543">
        <v>50.4</v>
      </c>
      <c r="I1543">
        <v>0</v>
      </c>
      <c r="L1543">
        <v>4</v>
      </c>
      <c r="M1543">
        <v>4</v>
      </c>
      <c r="N1543">
        <v>4</v>
      </c>
      <c r="O1543">
        <v>2</v>
      </c>
      <c r="P1543">
        <v>60.4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6</v>
      </c>
      <c r="AA1543">
        <v>0</v>
      </c>
      <c r="AC1543">
        <v>66.400000000000006</v>
      </c>
    </row>
    <row r="1544" spans="1:29">
      <c r="A1544">
        <v>1537</v>
      </c>
      <c r="B1544">
        <v>117</v>
      </c>
      <c r="C1544" t="s">
        <v>3470</v>
      </c>
      <c r="D1544" t="s">
        <v>1695</v>
      </c>
      <c r="E1544" t="s">
        <v>18</v>
      </c>
      <c r="F1544" t="s">
        <v>3471</v>
      </c>
      <c r="G1544" t="str">
        <f>"00794099"</f>
        <v>00794099</v>
      </c>
      <c r="H1544">
        <v>50.4</v>
      </c>
      <c r="I1544">
        <v>0</v>
      </c>
      <c r="K1544">
        <v>6</v>
      </c>
      <c r="M1544">
        <v>6</v>
      </c>
      <c r="N1544">
        <v>4</v>
      </c>
      <c r="O1544">
        <v>0</v>
      </c>
      <c r="P1544">
        <v>60.4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6</v>
      </c>
      <c r="AA1544">
        <v>0</v>
      </c>
      <c r="AC1544">
        <v>66.400000000000006</v>
      </c>
    </row>
    <row r="1545" spans="1:29">
      <c r="A1545">
        <v>1538</v>
      </c>
      <c r="B1545">
        <v>1998</v>
      </c>
      <c r="C1545" t="s">
        <v>3474</v>
      </c>
      <c r="D1545" t="s">
        <v>31</v>
      </c>
      <c r="E1545" t="s">
        <v>18</v>
      </c>
      <c r="F1545" t="s">
        <v>3475</v>
      </c>
      <c r="G1545" t="str">
        <f>"00860131"</f>
        <v>00860131</v>
      </c>
      <c r="H1545">
        <v>50.4</v>
      </c>
      <c r="I1545">
        <v>0</v>
      </c>
      <c r="J1545">
        <v>8</v>
      </c>
      <c r="L1545">
        <v>4</v>
      </c>
      <c r="M1545">
        <v>12</v>
      </c>
      <c r="N1545">
        <v>4</v>
      </c>
      <c r="O1545">
        <v>0</v>
      </c>
      <c r="P1545">
        <v>66.400000000000006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C1545">
        <v>66.400000000000006</v>
      </c>
    </row>
    <row r="1546" spans="1:29">
      <c r="A1546">
        <v>1539</v>
      </c>
      <c r="B1546">
        <v>3082</v>
      </c>
      <c r="C1546" t="s">
        <v>3472</v>
      </c>
      <c r="D1546" t="s">
        <v>2765</v>
      </c>
      <c r="E1546" t="s">
        <v>36</v>
      </c>
      <c r="F1546" t="s">
        <v>3473</v>
      </c>
      <c r="G1546" t="str">
        <f>"00620253"</f>
        <v>00620253</v>
      </c>
      <c r="H1546">
        <v>50.4</v>
      </c>
      <c r="I1546">
        <v>0</v>
      </c>
      <c r="K1546">
        <v>6</v>
      </c>
      <c r="L1546">
        <v>4</v>
      </c>
      <c r="M1546">
        <v>10</v>
      </c>
      <c r="N1546">
        <v>4</v>
      </c>
      <c r="O1546">
        <v>2</v>
      </c>
      <c r="P1546">
        <v>66.400000000000006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C1546">
        <v>66.400000000000006</v>
      </c>
    </row>
    <row r="1547" spans="1:29">
      <c r="A1547">
        <v>1540</v>
      </c>
      <c r="B1547">
        <v>1497</v>
      </c>
      <c r="C1547" t="s">
        <v>91</v>
      </c>
      <c r="D1547" t="s">
        <v>1208</v>
      </c>
      <c r="E1547" t="s">
        <v>18</v>
      </c>
      <c r="F1547" t="s">
        <v>3476</v>
      </c>
      <c r="G1547" t="str">
        <f>"00508709"</f>
        <v>00508709</v>
      </c>
      <c r="H1547">
        <v>29.32</v>
      </c>
      <c r="I1547">
        <v>0</v>
      </c>
      <c r="M1547">
        <v>0</v>
      </c>
      <c r="N1547">
        <v>4</v>
      </c>
      <c r="O1547">
        <v>0</v>
      </c>
      <c r="P1547">
        <v>33.32</v>
      </c>
      <c r="Q1547">
        <v>33</v>
      </c>
      <c r="R1547">
        <v>33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33</v>
      </c>
      <c r="Z1547">
        <v>0</v>
      </c>
      <c r="AA1547">
        <v>0</v>
      </c>
      <c r="AC1547">
        <v>66.319999999999993</v>
      </c>
    </row>
    <row r="1548" spans="1:29">
      <c r="A1548">
        <v>1541</v>
      </c>
      <c r="B1548">
        <v>4007</v>
      </c>
      <c r="C1548" t="s">
        <v>3477</v>
      </c>
      <c r="D1548" t="s">
        <v>130</v>
      </c>
      <c r="E1548" t="s">
        <v>134</v>
      </c>
      <c r="F1548" t="s">
        <v>3478</v>
      </c>
      <c r="G1548" t="str">
        <f>"00207101"</f>
        <v>00207101</v>
      </c>
      <c r="H1548">
        <v>43.2</v>
      </c>
      <c r="I1548">
        <v>10</v>
      </c>
      <c r="L1548">
        <v>4</v>
      </c>
      <c r="M1548">
        <v>4</v>
      </c>
      <c r="N1548">
        <v>4</v>
      </c>
      <c r="O1548">
        <v>2</v>
      </c>
      <c r="P1548">
        <v>63.2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3</v>
      </c>
      <c r="AA1548">
        <v>0</v>
      </c>
      <c r="AC1548">
        <v>66.2</v>
      </c>
    </row>
    <row r="1549" spans="1:29">
      <c r="A1549">
        <v>1542</v>
      </c>
      <c r="B1549">
        <v>2515</v>
      </c>
      <c r="C1549" t="s">
        <v>3479</v>
      </c>
      <c r="D1549" t="s">
        <v>159</v>
      </c>
      <c r="E1549" t="s">
        <v>115</v>
      </c>
      <c r="F1549" t="s">
        <v>3480</v>
      </c>
      <c r="G1549" t="str">
        <f>"00530779"</f>
        <v>00530779</v>
      </c>
      <c r="H1549">
        <v>43.2</v>
      </c>
      <c r="I1549">
        <v>0</v>
      </c>
      <c r="L1549">
        <v>4</v>
      </c>
      <c r="M1549">
        <v>4</v>
      </c>
      <c r="N1549">
        <v>0</v>
      </c>
      <c r="O1549">
        <v>0</v>
      </c>
      <c r="P1549">
        <v>47.2</v>
      </c>
      <c r="Q1549">
        <v>16</v>
      </c>
      <c r="R1549">
        <v>16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16</v>
      </c>
      <c r="Z1549">
        <v>3</v>
      </c>
      <c r="AA1549">
        <v>0</v>
      </c>
      <c r="AC1549">
        <v>66.2</v>
      </c>
    </row>
    <row r="1550" spans="1:29">
      <c r="A1550">
        <v>1543</v>
      </c>
      <c r="B1550">
        <v>461</v>
      </c>
      <c r="C1550" t="s">
        <v>3481</v>
      </c>
      <c r="D1550" t="s">
        <v>3482</v>
      </c>
      <c r="E1550" t="s">
        <v>3483</v>
      </c>
      <c r="F1550" t="s">
        <v>3484</v>
      </c>
      <c r="G1550" t="str">
        <f>"00509740"</f>
        <v>00509740</v>
      </c>
      <c r="H1550">
        <v>43.2</v>
      </c>
      <c r="I1550">
        <v>10</v>
      </c>
      <c r="M1550">
        <v>0</v>
      </c>
      <c r="N1550">
        <v>4</v>
      </c>
      <c r="O1550">
        <v>2</v>
      </c>
      <c r="P1550">
        <v>59.2</v>
      </c>
      <c r="Q1550">
        <v>7</v>
      </c>
      <c r="R1550">
        <v>7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7</v>
      </c>
      <c r="Z1550">
        <v>0</v>
      </c>
      <c r="AA1550">
        <v>0</v>
      </c>
      <c r="AC1550">
        <v>66.2</v>
      </c>
    </row>
    <row r="1551" spans="1:29">
      <c r="A1551">
        <v>1544</v>
      </c>
      <c r="B1551">
        <v>3789</v>
      </c>
      <c r="C1551" t="s">
        <v>3485</v>
      </c>
      <c r="D1551" t="s">
        <v>52</v>
      </c>
      <c r="E1551" t="s">
        <v>18</v>
      </c>
      <c r="F1551" t="s">
        <v>3486</v>
      </c>
      <c r="G1551" t="str">
        <f>"00317261"</f>
        <v>00317261</v>
      </c>
      <c r="H1551">
        <v>43.2</v>
      </c>
      <c r="I1551">
        <v>0</v>
      </c>
      <c r="M1551">
        <v>0</v>
      </c>
      <c r="N1551">
        <v>4</v>
      </c>
      <c r="O1551">
        <v>2</v>
      </c>
      <c r="P1551">
        <v>49.2</v>
      </c>
      <c r="Q1551">
        <v>17</v>
      </c>
      <c r="R1551">
        <v>17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17</v>
      </c>
      <c r="Z1551">
        <v>0</v>
      </c>
      <c r="AA1551">
        <v>0</v>
      </c>
      <c r="AC1551">
        <v>66.2</v>
      </c>
    </row>
    <row r="1552" spans="1:29">
      <c r="A1552">
        <v>1545</v>
      </c>
      <c r="B1552">
        <v>2084</v>
      </c>
      <c r="C1552" t="s">
        <v>1082</v>
      </c>
      <c r="D1552" t="s">
        <v>113</v>
      </c>
      <c r="E1552" t="s">
        <v>79</v>
      </c>
      <c r="F1552" t="s">
        <v>3487</v>
      </c>
      <c r="G1552" t="str">
        <f>"201412007372"</f>
        <v>201412007372</v>
      </c>
      <c r="H1552">
        <v>35.119999999999997</v>
      </c>
      <c r="I1552">
        <v>10</v>
      </c>
      <c r="J1552">
        <v>8</v>
      </c>
      <c r="M1552">
        <v>8</v>
      </c>
      <c r="N1552">
        <v>4</v>
      </c>
      <c r="O1552">
        <v>0</v>
      </c>
      <c r="P1552">
        <v>57.12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9</v>
      </c>
      <c r="AA1552">
        <v>0</v>
      </c>
      <c r="AC1552">
        <v>66.12</v>
      </c>
    </row>
    <row r="1553" spans="1:29">
      <c r="A1553">
        <v>1546</v>
      </c>
      <c r="B1553">
        <v>4043</v>
      </c>
      <c r="C1553" t="s">
        <v>3488</v>
      </c>
      <c r="D1553" t="s">
        <v>3489</v>
      </c>
      <c r="E1553" t="s">
        <v>15</v>
      </c>
      <c r="F1553" t="s">
        <v>3490</v>
      </c>
      <c r="G1553" t="str">
        <f>"200808000379"</f>
        <v>200808000379</v>
      </c>
      <c r="H1553">
        <v>28.8</v>
      </c>
      <c r="I1553">
        <v>0</v>
      </c>
      <c r="J1553">
        <v>8</v>
      </c>
      <c r="M1553">
        <v>8</v>
      </c>
      <c r="N1553">
        <v>4</v>
      </c>
      <c r="O1553">
        <v>2</v>
      </c>
      <c r="P1553">
        <v>42.8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23.2</v>
      </c>
      <c r="AC1553">
        <v>66</v>
      </c>
    </row>
    <row r="1554" spans="1:29">
      <c r="A1554">
        <v>1547</v>
      </c>
      <c r="B1554">
        <v>3620</v>
      </c>
      <c r="C1554" t="s">
        <v>3491</v>
      </c>
      <c r="D1554" t="s">
        <v>164</v>
      </c>
      <c r="E1554" t="s">
        <v>36</v>
      </c>
      <c r="F1554" t="s">
        <v>3492</v>
      </c>
      <c r="G1554" t="str">
        <f>"200805001331"</f>
        <v>200805001331</v>
      </c>
      <c r="H1554">
        <v>40</v>
      </c>
      <c r="I1554">
        <v>10</v>
      </c>
      <c r="L1554">
        <v>4</v>
      </c>
      <c r="M1554">
        <v>4</v>
      </c>
      <c r="N1554">
        <v>4</v>
      </c>
      <c r="O1554">
        <v>2</v>
      </c>
      <c r="P1554">
        <v>60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6</v>
      </c>
      <c r="AA1554">
        <v>0</v>
      </c>
      <c r="AC1554">
        <v>66</v>
      </c>
    </row>
    <row r="1555" spans="1:29">
      <c r="A1555">
        <v>1548</v>
      </c>
      <c r="B1555">
        <v>318</v>
      </c>
      <c r="C1555" t="s">
        <v>3493</v>
      </c>
      <c r="D1555" t="s">
        <v>775</v>
      </c>
      <c r="E1555" t="s">
        <v>3494</v>
      </c>
      <c r="F1555" t="s">
        <v>3495</v>
      </c>
      <c r="G1555" t="str">
        <f>"00531199"</f>
        <v>00531199</v>
      </c>
      <c r="H1555">
        <v>36</v>
      </c>
      <c r="I1555">
        <v>0</v>
      </c>
      <c r="L1555">
        <v>4</v>
      </c>
      <c r="M1555">
        <v>4</v>
      </c>
      <c r="N1555">
        <v>4</v>
      </c>
      <c r="O1555">
        <v>2</v>
      </c>
      <c r="P1555">
        <v>46</v>
      </c>
      <c r="Q1555">
        <v>17</v>
      </c>
      <c r="R1555">
        <v>17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17</v>
      </c>
      <c r="Z1555">
        <v>3</v>
      </c>
      <c r="AA1555">
        <v>0</v>
      </c>
      <c r="AC1555">
        <v>66</v>
      </c>
    </row>
    <row r="1556" spans="1:29">
      <c r="A1556">
        <v>1549</v>
      </c>
      <c r="B1556">
        <v>483</v>
      </c>
      <c r="C1556" t="s">
        <v>3496</v>
      </c>
      <c r="D1556" t="s">
        <v>3497</v>
      </c>
      <c r="E1556" t="s">
        <v>32</v>
      </c>
      <c r="F1556" t="s">
        <v>3498</v>
      </c>
      <c r="G1556" t="str">
        <f>"00330378"</f>
        <v>00330378</v>
      </c>
      <c r="H1556">
        <v>36</v>
      </c>
      <c r="I1556">
        <v>0</v>
      </c>
      <c r="J1556">
        <v>8</v>
      </c>
      <c r="M1556">
        <v>8</v>
      </c>
      <c r="N1556">
        <v>4</v>
      </c>
      <c r="O1556">
        <v>0</v>
      </c>
      <c r="P1556">
        <v>48</v>
      </c>
      <c r="Q1556">
        <v>18</v>
      </c>
      <c r="R1556">
        <v>18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18</v>
      </c>
      <c r="Z1556">
        <v>0</v>
      </c>
      <c r="AA1556">
        <v>0</v>
      </c>
      <c r="AC1556">
        <v>66</v>
      </c>
    </row>
    <row r="1557" spans="1:29">
      <c r="A1557">
        <v>1550</v>
      </c>
      <c r="B1557">
        <v>766</v>
      </c>
      <c r="C1557" t="s">
        <v>3499</v>
      </c>
      <c r="D1557" t="s">
        <v>588</v>
      </c>
      <c r="E1557" t="s">
        <v>15</v>
      </c>
      <c r="F1557" t="s">
        <v>3500</v>
      </c>
      <c r="G1557" t="str">
        <f>"00148175"</f>
        <v>00148175</v>
      </c>
      <c r="H1557">
        <v>36</v>
      </c>
      <c r="I1557">
        <v>0</v>
      </c>
      <c r="L1557">
        <v>4</v>
      </c>
      <c r="M1557">
        <v>4</v>
      </c>
      <c r="N1557">
        <v>4</v>
      </c>
      <c r="O1557">
        <v>0</v>
      </c>
      <c r="P1557">
        <v>44</v>
      </c>
      <c r="Q1557">
        <v>22</v>
      </c>
      <c r="R1557">
        <v>22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22</v>
      </c>
      <c r="Z1557">
        <v>0</v>
      </c>
      <c r="AA1557">
        <v>0</v>
      </c>
      <c r="AC1557">
        <v>66</v>
      </c>
    </row>
    <row r="1558" spans="1:29">
      <c r="A1558">
        <v>1551</v>
      </c>
      <c r="B1558">
        <v>3791</v>
      </c>
      <c r="C1558" t="s">
        <v>3501</v>
      </c>
      <c r="D1558" t="s">
        <v>397</v>
      </c>
      <c r="E1558" t="s">
        <v>168</v>
      </c>
      <c r="F1558" t="s">
        <v>3502</v>
      </c>
      <c r="G1558" t="str">
        <f>"00860702"</f>
        <v>00860702</v>
      </c>
      <c r="H1558">
        <v>38.799999999999997</v>
      </c>
      <c r="I1558">
        <v>10</v>
      </c>
      <c r="L1558">
        <v>4</v>
      </c>
      <c r="M1558">
        <v>4</v>
      </c>
      <c r="N1558">
        <v>4</v>
      </c>
      <c r="O1558">
        <v>0</v>
      </c>
      <c r="P1558">
        <v>56.8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9</v>
      </c>
      <c r="AA1558">
        <v>0</v>
      </c>
      <c r="AC1558">
        <v>65.8</v>
      </c>
    </row>
    <row r="1559" spans="1:29">
      <c r="A1559">
        <v>1552</v>
      </c>
      <c r="B1559">
        <v>4020</v>
      </c>
      <c r="C1559" t="s">
        <v>3038</v>
      </c>
      <c r="D1559" t="s">
        <v>69</v>
      </c>
      <c r="E1559" t="s">
        <v>237</v>
      </c>
      <c r="F1559" t="s">
        <v>3503</v>
      </c>
      <c r="G1559" t="str">
        <f>"00530543"</f>
        <v>00530543</v>
      </c>
      <c r="H1559">
        <v>37.799999999999997</v>
      </c>
      <c r="I1559">
        <v>0</v>
      </c>
      <c r="M1559">
        <v>0</v>
      </c>
      <c r="N1559">
        <v>4</v>
      </c>
      <c r="O1559">
        <v>2</v>
      </c>
      <c r="P1559">
        <v>43.8</v>
      </c>
      <c r="Q1559">
        <v>16</v>
      </c>
      <c r="R1559">
        <v>16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16</v>
      </c>
      <c r="Z1559">
        <v>6</v>
      </c>
      <c r="AA1559">
        <v>0</v>
      </c>
      <c r="AC1559">
        <v>65.8</v>
      </c>
    </row>
    <row r="1560" spans="1:29">
      <c r="A1560">
        <v>1553</v>
      </c>
      <c r="B1560">
        <v>4092</v>
      </c>
      <c r="C1560" t="s">
        <v>3506</v>
      </c>
      <c r="D1560" t="s">
        <v>175</v>
      </c>
      <c r="E1560" t="s">
        <v>176</v>
      </c>
      <c r="F1560" t="s">
        <v>3507</v>
      </c>
      <c r="G1560" t="str">
        <f>"00148468"</f>
        <v>00148468</v>
      </c>
      <c r="H1560">
        <v>38.799999999999997</v>
      </c>
      <c r="I1560">
        <v>10</v>
      </c>
      <c r="J1560">
        <v>8</v>
      </c>
      <c r="M1560">
        <v>8</v>
      </c>
      <c r="N1560">
        <v>4</v>
      </c>
      <c r="O1560">
        <v>2</v>
      </c>
      <c r="P1560">
        <v>62.8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3</v>
      </c>
      <c r="AA1560">
        <v>0</v>
      </c>
      <c r="AC1560">
        <v>65.8</v>
      </c>
    </row>
    <row r="1561" spans="1:29">
      <c r="A1561">
        <v>1554</v>
      </c>
      <c r="B1561">
        <v>1301</v>
      </c>
      <c r="C1561" t="s">
        <v>3504</v>
      </c>
      <c r="D1561" t="s">
        <v>27</v>
      </c>
      <c r="E1561" t="s">
        <v>3248</v>
      </c>
      <c r="F1561" t="s">
        <v>3505</v>
      </c>
      <c r="G1561" t="str">
        <f>"00225915"</f>
        <v>00225915</v>
      </c>
      <c r="H1561">
        <v>38.799999999999997</v>
      </c>
      <c r="I1561">
        <v>10</v>
      </c>
      <c r="J1561">
        <v>8</v>
      </c>
      <c r="M1561">
        <v>8</v>
      </c>
      <c r="N1561">
        <v>4</v>
      </c>
      <c r="O1561">
        <v>2</v>
      </c>
      <c r="P1561">
        <v>62.8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3</v>
      </c>
      <c r="AA1561">
        <v>0</v>
      </c>
      <c r="AC1561">
        <v>65.8</v>
      </c>
    </row>
    <row r="1562" spans="1:29">
      <c r="A1562">
        <v>1555</v>
      </c>
      <c r="B1562">
        <v>1700</v>
      </c>
      <c r="C1562" t="s">
        <v>3036</v>
      </c>
      <c r="D1562" t="s">
        <v>27</v>
      </c>
      <c r="E1562" t="s">
        <v>50</v>
      </c>
      <c r="F1562" t="s">
        <v>3508</v>
      </c>
      <c r="G1562" t="str">
        <f>"00531477"</f>
        <v>00531477</v>
      </c>
      <c r="H1562">
        <v>28.8</v>
      </c>
      <c r="I1562">
        <v>0</v>
      </c>
      <c r="M1562">
        <v>0</v>
      </c>
      <c r="N1562">
        <v>4</v>
      </c>
      <c r="O1562">
        <v>2</v>
      </c>
      <c r="P1562">
        <v>34.799999999999997</v>
      </c>
      <c r="Q1562">
        <v>31</v>
      </c>
      <c r="R1562">
        <v>31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31</v>
      </c>
      <c r="Z1562">
        <v>0</v>
      </c>
      <c r="AA1562">
        <v>0</v>
      </c>
      <c r="AC1562">
        <v>65.8</v>
      </c>
    </row>
    <row r="1563" spans="1:29">
      <c r="A1563">
        <v>1556</v>
      </c>
      <c r="B1563">
        <v>4354</v>
      </c>
      <c r="C1563" t="s">
        <v>415</v>
      </c>
      <c r="D1563" t="s">
        <v>3509</v>
      </c>
      <c r="E1563" t="s">
        <v>66</v>
      </c>
      <c r="F1563" t="s">
        <v>3510</v>
      </c>
      <c r="G1563" t="str">
        <f>"00458973"</f>
        <v>00458973</v>
      </c>
      <c r="H1563">
        <v>23.6</v>
      </c>
      <c r="I1563">
        <v>10</v>
      </c>
      <c r="M1563">
        <v>0</v>
      </c>
      <c r="N1563">
        <v>0</v>
      </c>
      <c r="O1563">
        <v>0</v>
      </c>
      <c r="P1563">
        <v>33.6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32</v>
      </c>
      <c r="AC1563">
        <v>65.599999999999994</v>
      </c>
    </row>
    <row r="1564" spans="1:29">
      <c r="A1564">
        <v>1557</v>
      </c>
      <c r="B1564">
        <v>360</v>
      </c>
      <c r="C1564" t="s">
        <v>3511</v>
      </c>
      <c r="D1564" t="s">
        <v>52</v>
      </c>
      <c r="E1564" t="s">
        <v>79</v>
      </c>
      <c r="F1564" t="s">
        <v>3512</v>
      </c>
      <c r="G1564" t="str">
        <f>"201004000040"</f>
        <v>201004000040</v>
      </c>
      <c r="H1564">
        <v>39.6</v>
      </c>
      <c r="I1564">
        <v>10</v>
      </c>
      <c r="L1564">
        <v>4</v>
      </c>
      <c r="M1564">
        <v>4</v>
      </c>
      <c r="N1564">
        <v>4</v>
      </c>
      <c r="O1564">
        <v>2</v>
      </c>
      <c r="P1564">
        <v>59.6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6</v>
      </c>
      <c r="AA1564">
        <v>0</v>
      </c>
      <c r="AC1564">
        <v>65.599999999999994</v>
      </c>
    </row>
    <row r="1565" spans="1:29">
      <c r="A1565">
        <v>1558</v>
      </c>
      <c r="B1565">
        <v>1648</v>
      </c>
      <c r="C1565" t="s">
        <v>3513</v>
      </c>
      <c r="D1565" t="s">
        <v>248</v>
      </c>
      <c r="E1565" t="s">
        <v>28</v>
      </c>
      <c r="F1565" t="s">
        <v>3514</v>
      </c>
      <c r="G1565" t="str">
        <f>"00442451"</f>
        <v>00442451</v>
      </c>
      <c r="H1565">
        <v>21.6</v>
      </c>
      <c r="I1565">
        <v>10</v>
      </c>
      <c r="L1565">
        <v>4</v>
      </c>
      <c r="M1565">
        <v>4</v>
      </c>
      <c r="N1565">
        <v>4</v>
      </c>
      <c r="O1565">
        <v>2</v>
      </c>
      <c r="P1565">
        <v>41.6</v>
      </c>
      <c r="Q1565">
        <v>18</v>
      </c>
      <c r="R1565">
        <v>18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18</v>
      </c>
      <c r="Z1565">
        <v>6</v>
      </c>
      <c r="AA1565">
        <v>0</v>
      </c>
      <c r="AC1565">
        <v>65.599999999999994</v>
      </c>
    </row>
    <row r="1566" spans="1:29">
      <c r="A1566">
        <v>1559</v>
      </c>
      <c r="B1566">
        <v>4532</v>
      </c>
      <c r="C1566" t="s">
        <v>3530</v>
      </c>
      <c r="D1566" t="s">
        <v>2014</v>
      </c>
      <c r="E1566" t="s">
        <v>115</v>
      </c>
      <c r="F1566" t="s">
        <v>3531</v>
      </c>
      <c r="G1566" t="str">
        <f>"00864787"</f>
        <v>00864787</v>
      </c>
      <c r="H1566">
        <v>57.6</v>
      </c>
      <c r="I1566">
        <v>0</v>
      </c>
      <c r="L1566">
        <v>4</v>
      </c>
      <c r="M1566">
        <v>4</v>
      </c>
      <c r="N1566">
        <v>4</v>
      </c>
      <c r="O1566">
        <v>0</v>
      </c>
      <c r="P1566">
        <v>65.599999999999994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C1566">
        <v>65.599999999999994</v>
      </c>
    </row>
    <row r="1567" spans="1:29">
      <c r="A1567">
        <v>1560</v>
      </c>
      <c r="B1567">
        <v>3065</v>
      </c>
      <c r="C1567" t="s">
        <v>178</v>
      </c>
      <c r="D1567" t="s">
        <v>86</v>
      </c>
      <c r="E1567" t="s">
        <v>134</v>
      </c>
      <c r="F1567" t="s">
        <v>3529</v>
      </c>
      <c r="G1567" t="str">
        <f>"00455142"</f>
        <v>00455142</v>
      </c>
      <c r="H1567">
        <v>57.6</v>
      </c>
      <c r="I1567">
        <v>0</v>
      </c>
      <c r="L1567">
        <v>4</v>
      </c>
      <c r="M1567">
        <v>4</v>
      </c>
      <c r="N1567">
        <v>4</v>
      </c>
      <c r="O1567">
        <v>0</v>
      </c>
      <c r="P1567">
        <v>65.599999999999994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C1567">
        <v>65.599999999999994</v>
      </c>
    </row>
    <row r="1568" spans="1:29">
      <c r="A1568">
        <v>1561</v>
      </c>
      <c r="B1568">
        <v>4527</v>
      </c>
      <c r="C1568" t="s">
        <v>3519</v>
      </c>
      <c r="D1568" t="s">
        <v>1717</v>
      </c>
      <c r="E1568" t="s">
        <v>15</v>
      </c>
      <c r="F1568" t="s">
        <v>3520</v>
      </c>
      <c r="G1568" t="str">
        <f>"00196655"</f>
        <v>00196655</v>
      </c>
      <c r="H1568">
        <v>57.6</v>
      </c>
      <c r="I1568">
        <v>0</v>
      </c>
      <c r="L1568">
        <v>4</v>
      </c>
      <c r="M1568">
        <v>4</v>
      </c>
      <c r="N1568">
        <v>4</v>
      </c>
      <c r="O1568">
        <v>0</v>
      </c>
      <c r="P1568">
        <v>65.599999999999994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C1568">
        <v>65.599999999999994</v>
      </c>
    </row>
    <row r="1569" spans="1:29">
      <c r="A1569">
        <v>1562</v>
      </c>
      <c r="B1569">
        <v>1059</v>
      </c>
      <c r="C1569" t="s">
        <v>3527</v>
      </c>
      <c r="D1569" t="s">
        <v>36</v>
      </c>
      <c r="E1569" t="s">
        <v>50</v>
      </c>
      <c r="F1569" t="s">
        <v>3528</v>
      </c>
      <c r="G1569" t="str">
        <f>"201604000522"</f>
        <v>201604000522</v>
      </c>
      <c r="H1569">
        <v>57.6</v>
      </c>
      <c r="I1569">
        <v>0</v>
      </c>
      <c r="L1569">
        <v>4</v>
      </c>
      <c r="M1569">
        <v>4</v>
      </c>
      <c r="N1569">
        <v>4</v>
      </c>
      <c r="O1569">
        <v>0</v>
      </c>
      <c r="P1569">
        <v>65.599999999999994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C1569">
        <v>65.599999999999994</v>
      </c>
    </row>
    <row r="1570" spans="1:29">
      <c r="A1570">
        <v>1563</v>
      </c>
      <c r="B1570">
        <v>1460</v>
      </c>
      <c r="C1570" t="s">
        <v>3515</v>
      </c>
      <c r="D1570" t="s">
        <v>130</v>
      </c>
      <c r="E1570" t="s">
        <v>967</v>
      </c>
      <c r="F1570" t="s">
        <v>3516</v>
      </c>
      <c r="G1570" t="str">
        <f>"00854609"</f>
        <v>00854609</v>
      </c>
      <c r="H1570">
        <v>57.6</v>
      </c>
      <c r="I1570">
        <v>0</v>
      </c>
      <c r="L1570">
        <v>4</v>
      </c>
      <c r="M1570">
        <v>4</v>
      </c>
      <c r="N1570">
        <v>4</v>
      </c>
      <c r="O1570">
        <v>0</v>
      </c>
      <c r="P1570">
        <v>65.599999999999994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C1570">
        <v>65.599999999999994</v>
      </c>
    </row>
    <row r="1571" spans="1:29">
      <c r="A1571">
        <v>1564</v>
      </c>
      <c r="B1571">
        <v>129</v>
      </c>
      <c r="C1571" t="s">
        <v>3524</v>
      </c>
      <c r="D1571" t="s">
        <v>384</v>
      </c>
      <c r="E1571" t="s">
        <v>3525</v>
      </c>
      <c r="F1571" t="s">
        <v>3526</v>
      </c>
      <c r="G1571" t="str">
        <f>"00071137"</f>
        <v>00071137</v>
      </c>
      <c r="H1571">
        <v>57.6</v>
      </c>
      <c r="I1571">
        <v>0</v>
      </c>
      <c r="L1571">
        <v>4</v>
      </c>
      <c r="M1571">
        <v>4</v>
      </c>
      <c r="N1571">
        <v>4</v>
      </c>
      <c r="O1571">
        <v>0</v>
      </c>
      <c r="P1571">
        <v>65.599999999999994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C1571">
        <v>65.599999999999994</v>
      </c>
    </row>
    <row r="1572" spans="1:29">
      <c r="A1572">
        <v>1565</v>
      </c>
      <c r="B1572">
        <v>1193</v>
      </c>
      <c r="C1572" t="s">
        <v>3517</v>
      </c>
      <c r="D1572" t="s">
        <v>248</v>
      </c>
      <c r="E1572" t="s">
        <v>156</v>
      </c>
      <c r="F1572" t="s">
        <v>3518</v>
      </c>
      <c r="G1572" t="str">
        <f>"00144890"</f>
        <v>00144890</v>
      </c>
      <c r="H1572">
        <v>57.6</v>
      </c>
      <c r="I1572">
        <v>0</v>
      </c>
      <c r="L1572">
        <v>4</v>
      </c>
      <c r="M1572">
        <v>4</v>
      </c>
      <c r="N1572">
        <v>4</v>
      </c>
      <c r="O1572">
        <v>0</v>
      </c>
      <c r="P1572">
        <v>65.599999999999994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C1572">
        <v>65.599999999999994</v>
      </c>
    </row>
    <row r="1573" spans="1:29">
      <c r="A1573">
        <v>1566</v>
      </c>
      <c r="B1573">
        <v>1340</v>
      </c>
      <c r="C1573" t="s">
        <v>3521</v>
      </c>
      <c r="D1573" t="s">
        <v>3233</v>
      </c>
      <c r="E1573" t="s">
        <v>3522</v>
      </c>
      <c r="F1573" t="s">
        <v>3523</v>
      </c>
      <c r="G1573" t="str">
        <f>"00556141"</f>
        <v>00556141</v>
      </c>
      <c r="H1573">
        <v>57.6</v>
      </c>
      <c r="I1573">
        <v>0</v>
      </c>
      <c r="L1573">
        <v>4</v>
      </c>
      <c r="M1573">
        <v>4</v>
      </c>
      <c r="N1573">
        <v>4</v>
      </c>
      <c r="O1573">
        <v>0</v>
      </c>
      <c r="P1573">
        <v>65.599999999999994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C1573">
        <v>65.599999999999994</v>
      </c>
    </row>
    <row r="1574" spans="1:29">
      <c r="A1574">
        <v>1567</v>
      </c>
      <c r="B1574">
        <v>1855</v>
      </c>
      <c r="C1574" t="s">
        <v>3532</v>
      </c>
      <c r="D1574" t="s">
        <v>465</v>
      </c>
      <c r="E1574" t="s">
        <v>36</v>
      </c>
      <c r="F1574" t="s">
        <v>3533</v>
      </c>
      <c r="G1574" t="str">
        <f>"00515556"</f>
        <v>00515556</v>
      </c>
      <c r="H1574">
        <v>57.6</v>
      </c>
      <c r="I1574">
        <v>0</v>
      </c>
      <c r="M1574">
        <v>0</v>
      </c>
      <c r="N1574">
        <v>0</v>
      </c>
      <c r="O1574">
        <v>0</v>
      </c>
      <c r="P1574">
        <v>57.6</v>
      </c>
      <c r="Q1574">
        <v>8</v>
      </c>
      <c r="R1574">
        <v>8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8</v>
      </c>
      <c r="Z1574">
        <v>0</v>
      </c>
      <c r="AA1574">
        <v>0</v>
      </c>
      <c r="AC1574">
        <v>65.599999999999994</v>
      </c>
    </row>
    <row r="1575" spans="1:29">
      <c r="A1575">
        <v>1568</v>
      </c>
      <c r="B1575">
        <v>3253</v>
      </c>
      <c r="C1575" t="s">
        <v>3534</v>
      </c>
      <c r="D1575" t="s">
        <v>108</v>
      </c>
      <c r="E1575" t="s">
        <v>3139</v>
      </c>
      <c r="F1575" t="s">
        <v>3535</v>
      </c>
      <c r="G1575" t="str">
        <f>"00526663"</f>
        <v>00526663</v>
      </c>
      <c r="H1575">
        <v>21.6</v>
      </c>
      <c r="I1575">
        <v>10</v>
      </c>
      <c r="L1575">
        <v>4</v>
      </c>
      <c r="M1575">
        <v>4</v>
      </c>
      <c r="N1575">
        <v>4</v>
      </c>
      <c r="O1575">
        <v>2</v>
      </c>
      <c r="P1575">
        <v>41.6</v>
      </c>
      <c r="Q1575">
        <v>24</v>
      </c>
      <c r="R1575">
        <v>24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24</v>
      </c>
      <c r="Z1575">
        <v>0</v>
      </c>
      <c r="AA1575">
        <v>0</v>
      </c>
      <c r="AC1575">
        <v>65.599999999999994</v>
      </c>
    </row>
    <row r="1576" spans="1:29">
      <c r="A1576">
        <v>1569</v>
      </c>
      <c r="B1576">
        <v>4496</v>
      </c>
      <c r="C1576" t="s">
        <v>3536</v>
      </c>
      <c r="D1576" t="s">
        <v>3537</v>
      </c>
      <c r="E1576" t="s">
        <v>564</v>
      </c>
      <c r="F1576" t="s">
        <v>3538</v>
      </c>
      <c r="G1576" t="str">
        <f>"00526800"</f>
        <v>00526800</v>
      </c>
      <c r="H1576">
        <v>35.56</v>
      </c>
      <c r="I1576">
        <v>0</v>
      </c>
      <c r="M1576">
        <v>0</v>
      </c>
      <c r="N1576">
        <v>4</v>
      </c>
      <c r="O1576">
        <v>2</v>
      </c>
      <c r="P1576">
        <v>41.56</v>
      </c>
      <c r="Q1576">
        <v>8</v>
      </c>
      <c r="R1576">
        <v>8</v>
      </c>
      <c r="S1576">
        <v>0</v>
      </c>
      <c r="T1576">
        <v>0</v>
      </c>
      <c r="U1576">
        <v>7</v>
      </c>
      <c r="V1576">
        <v>10</v>
      </c>
      <c r="W1576">
        <v>0</v>
      </c>
      <c r="X1576">
        <v>0</v>
      </c>
      <c r="Y1576">
        <v>18</v>
      </c>
      <c r="Z1576">
        <v>6</v>
      </c>
      <c r="AA1576">
        <v>0</v>
      </c>
      <c r="AC1576">
        <v>65.56</v>
      </c>
    </row>
    <row r="1577" spans="1:29">
      <c r="A1577">
        <v>1570</v>
      </c>
      <c r="B1577">
        <v>1196</v>
      </c>
      <c r="C1577" t="s">
        <v>3539</v>
      </c>
      <c r="D1577" t="s">
        <v>32</v>
      </c>
      <c r="E1577" t="s">
        <v>369</v>
      </c>
      <c r="F1577" t="s">
        <v>3540</v>
      </c>
      <c r="G1577" t="str">
        <f>"00498953"</f>
        <v>00498953</v>
      </c>
      <c r="H1577">
        <v>14.4</v>
      </c>
      <c r="I1577">
        <v>0</v>
      </c>
      <c r="K1577">
        <v>6</v>
      </c>
      <c r="M1577">
        <v>6</v>
      </c>
      <c r="N1577">
        <v>4</v>
      </c>
      <c r="O1577">
        <v>2</v>
      </c>
      <c r="P1577">
        <v>26.4</v>
      </c>
      <c r="Q1577">
        <v>33</v>
      </c>
      <c r="R1577">
        <v>33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33</v>
      </c>
      <c r="Z1577">
        <v>6</v>
      </c>
      <c r="AA1577">
        <v>0</v>
      </c>
      <c r="AC1577">
        <v>65.400000000000006</v>
      </c>
    </row>
    <row r="1578" spans="1:29">
      <c r="A1578">
        <v>1571</v>
      </c>
      <c r="B1578">
        <v>2882</v>
      </c>
      <c r="C1578" t="s">
        <v>3541</v>
      </c>
      <c r="D1578" t="s">
        <v>3542</v>
      </c>
      <c r="E1578" t="s">
        <v>115</v>
      </c>
      <c r="F1578" t="s">
        <v>3543</v>
      </c>
      <c r="G1578" t="str">
        <f>"201307000049"</f>
        <v>201307000049</v>
      </c>
      <c r="H1578">
        <v>50.4</v>
      </c>
      <c r="I1578">
        <v>0</v>
      </c>
      <c r="J1578">
        <v>8</v>
      </c>
      <c r="M1578">
        <v>8</v>
      </c>
      <c r="N1578">
        <v>4</v>
      </c>
      <c r="O1578">
        <v>0</v>
      </c>
      <c r="P1578">
        <v>62.4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3</v>
      </c>
      <c r="AA1578">
        <v>0</v>
      </c>
      <c r="AC1578">
        <v>65.400000000000006</v>
      </c>
    </row>
    <row r="1579" spans="1:29">
      <c r="A1579">
        <v>1572</v>
      </c>
      <c r="B1579">
        <v>2626</v>
      </c>
      <c r="C1579" t="s">
        <v>3544</v>
      </c>
      <c r="D1579" t="s">
        <v>3313</v>
      </c>
      <c r="E1579" t="s">
        <v>369</v>
      </c>
      <c r="F1579" t="s">
        <v>3545</v>
      </c>
      <c r="G1579" t="str">
        <f>"00523374"</f>
        <v>00523374</v>
      </c>
      <c r="H1579">
        <v>38.4</v>
      </c>
      <c r="I1579">
        <v>0</v>
      </c>
      <c r="M1579">
        <v>0</v>
      </c>
      <c r="N1579">
        <v>4</v>
      </c>
      <c r="O1579">
        <v>2</v>
      </c>
      <c r="P1579">
        <v>44.4</v>
      </c>
      <c r="Q1579">
        <v>18</v>
      </c>
      <c r="R1579">
        <v>18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18</v>
      </c>
      <c r="Z1579">
        <v>3</v>
      </c>
      <c r="AA1579">
        <v>0</v>
      </c>
      <c r="AC1579">
        <v>65.400000000000006</v>
      </c>
    </row>
    <row r="1580" spans="1:29">
      <c r="A1580">
        <v>1573</v>
      </c>
      <c r="B1580">
        <v>4156</v>
      </c>
      <c r="C1580" t="s">
        <v>3546</v>
      </c>
      <c r="D1580" t="s">
        <v>952</v>
      </c>
      <c r="E1580" t="s">
        <v>36</v>
      </c>
      <c r="F1580" t="s">
        <v>3547</v>
      </c>
      <c r="G1580" t="str">
        <f>"00327938"</f>
        <v>00327938</v>
      </c>
      <c r="H1580">
        <v>32.4</v>
      </c>
      <c r="I1580">
        <v>10</v>
      </c>
      <c r="M1580">
        <v>0</v>
      </c>
      <c r="N1580">
        <v>4</v>
      </c>
      <c r="O1580">
        <v>2</v>
      </c>
      <c r="P1580">
        <v>48.4</v>
      </c>
      <c r="Q1580">
        <v>8</v>
      </c>
      <c r="R1580">
        <v>8</v>
      </c>
      <c r="S1580">
        <v>0</v>
      </c>
      <c r="T1580">
        <v>0</v>
      </c>
      <c r="U1580">
        <v>6</v>
      </c>
      <c r="V1580">
        <v>9</v>
      </c>
      <c r="W1580">
        <v>0</v>
      </c>
      <c r="X1580">
        <v>0</v>
      </c>
      <c r="Y1580">
        <v>17</v>
      </c>
      <c r="Z1580">
        <v>0</v>
      </c>
      <c r="AA1580">
        <v>0</v>
      </c>
      <c r="AC1580">
        <v>65.400000000000006</v>
      </c>
    </row>
    <row r="1581" spans="1:29">
      <c r="A1581">
        <v>1574</v>
      </c>
      <c r="B1581">
        <v>4261</v>
      </c>
      <c r="C1581" t="s">
        <v>3548</v>
      </c>
      <c r="D1581" t="s">
        <v>159</v>
      </c>
      <c r="E1581" t="s">
        <v>79</v>
      </c>
      <c r="F1581" t="s">
        <v>3549</v>
      </c>
      <c r="G1581" t="str">
        <f>"00509845"</f>
        <v>00509845</v>
      </c>
      <c r="H1581">
        <v>14.4</v>
      </c>
      <c r="I1581">
        <v>0</v>
      </c>
      <c r="J1581">
        <v>8</v>
      </c>
      <c r="M1581">
        <v>8</v>
      </c>
      <c r="N1581">
        <v>4</v>
      </c>
      <c r="O1581">
        <v>2</v>
      </c>
      <c r="P1581">
        <v>28.4</v>
      </c>
      <c r="Q1581">
        <v>37</v>
      </c>
      <c r="R1581">
        <v>37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37</v>
      </c>
      <c r="Z1581">
        <v>0</v>
      </c>
      <c r="AA1581">
        <v>0</v>
      </c>
      <c r="AC1581">
        <v>65.400000000000006</v>
      </c>
    </row>
    <row r="1582" spans="1:29">
      <c r="A1582">
        <v>1575</v>
      </c>
      <c r="B1582">
        <v>3851</v>
      </c>
      <c r="C1582" t="s">
        <v>3550</v>
      </c>
      <c r="D1582" t="s">
        <v>205</v>
      </c>
      <c r="E1582" t="s">
        <v>233</v>
      </c>
      <c r="F1582" t="s">
        <v>3551</v>
      </c>
      <c r="G1582" t="str">
        <f>"00529290"</f>
        <v>00529290</v>
      </c>
      <c r="H1582">
        <v>22.32</v>
      </c>
      <c r="I1582">
        <v>0</v>
      </c>
      <c r="M1582">
        <v>0</v>
      </c>
      <c r="N1582">
        <v>0</v>
      </c>
      <c r="O1582">
        <v>0</v>
      </c>
      <c r="P1582">
        <v>22.32</v>
      </c>
      <c r="Q1582">
        <v>43</v>
      </c>
      <c r="R1582">
        <v>43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43</v>
      </c>
      <c r="Z1582">
        <v>0</v>
      </c>
      <c r="AA1582">
        <v>0</v>
      </c>
      <c r="AC1582">
        <v>65.319999999999993</v>
      </c>
    </row>
    <row r="1583" spans="1:29">
      <c r="A1583">
        <v>1576</v>
      </c>
      <c r="B1583">
        <v>4288</v>
      </c>
      <c r="C1583" t="s">
        <v>1576</v>
      </c>
      <c r="D1583" t="s">
        <v>27</v>
      </c>
      <c r="E1583" t="s">
        <v>156</v>
      </c>
      <c r="F1583" t="s">
        <v>3552</v>
      </c>
      <c r="G1583" t="str">
        <f>"00517951"</f>
        <v>00517951</v>
      </c>
      <c r="H1583">
        <v>43.2</v>
      </c>
      <c r="I1583">
        <v>10</v>
      </c>
      <c r="K1583">
        <v>6</v>
      </c>
      <c r="M1583">
        <v>6</v>
      </c>
      <c r="N1583">
        <v>4</v>
      </c>
      <c r="O1583">
        <v>2</v>
      </c>
      <c r="P1583">
        <v>65.2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0</v>
      </c>
      <c r="AC1583">
        <v>65.2</v>
      </c>
    </row>
    <row r="1584" spans="1:29">
      <c r="A1584">
        <v>1577</v>
      </c>
      <c r="B1584">
        <v>58</v>
      </c>
      <c r="C1584" t="s">
        <v>3553</v>
      </c>
      <c r="D1584" t="s">
        <v>3554</v>
      </c>
      <c r="E1584" t="s">
        <v>115</v>
      </c>
      <c r="F1584" t="s">
        <v>3555</v>
      </c>
      <c r="G1584" t="str">
        <f>"00237014"</f>
        <v>00237014</v>
      </c>
      <c r="H1584">
        <v>43.2</v>
      </c>
      <c r="I1584">
        <v>10</v>
      </c>
      <c r="J1584">
        <v>8</v>
      </c>
      <c r="M1584">
        <v>8</v>
      </c>
      <c r="N1584">
        <v>4</v>
      </c>
      <c r="O1584">
        <v>0</v>
      </c>
      <c r="P1584">
        <v>65.2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C1584">
        <v>65.2</v>
      </c>
    </row>
    <row r="1585" spans="1:29">
      <c r="A1585">
        <v>1578</v>
      </c>
      <c r="B1585">
        <v>2391</v>
      </c>
      <c r="C1585" t="s">
        <v>3556</v>
      </c>
      <c r="D1585" t="s">
        <v>205</v>
      </c>
      <c r="E1585" t="s">
        <v>621</v>
      </c>
      <c r="F1585" t="s">
        <v>3557</v>
      </c>
      <c r="G1585" t="str">
        <f>"00527139"</f>
        <v>00527139</v>
      </c>
      <c r="H1585">
        <v>43.2</v>
      </c>
      <c r="I1585">
        <v>0</v>
      </c>
      <c r="M1585">
        <v>0</v>
      </c>
      <c r="N1585">
        <v>4</v>
      </c>
      <c r="O1585">
        <v>0</v>
      </c>
      <c r="P1585">
        <v>47.2</v>
      </c>
      <c r="Q1585">
        <v>18</v>
      </c>
      <c r="R1585">
        <v>18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18</v>
      </c>
      <c r="Z1585">
        <v>0</v>
      </c>
      <c r="AA1585">
        <v>0</v>
      </c>
      <c r="AC1585">
        <v>65.2</v>
      </c>
    </row>
    <row r="1586" spans="1:29">
      <c r="A1586">
        <v>1579</v>
      </c>
      <c r="B1586">
        <v>2218</v>
      </c>
      <c r="C1586" t="s">
        <v>3558</v>
      </c>
      <c r="D1586" t="s">
        <v>3559</v>
      </c>
      <c r="E1586" t="s">
        <v>32</v>
      </c>
      <c r="F1586" t="s">
        <v>3560</v>
      </c>
      <c r="G1586" t="str">
        <f>"00533645"</f>
        <v>00533645</v>
      </c>
      <c r="H1586">
        <v>17.2</v>
      </c>
      <c r="I1586">
        <v>10</v>
      </c>
      <c r="M1586">
        <v>0</v>
      </c>
      <c r="N1586">
        <v>0</v>
      </c>
      <c r="O1586">
        <v>0</v>
      </c>
      <c r="P1586">
        <v>27.2</v>
      </c>
      <c r="Q1586">
        <v>38</v>
      </c>
      <c r="R1586">
        <v>38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38</v>
      </c>
      <c r="Z1586">
        <v>0</v>
      </c>
      <c r="AA1586">
        <v>0</v>
      </c>
      <c r="AC1586">
        <v>65.2</v>
      </c>
    </row>
    <row r="1587" spans="1:29">
      <c r="A1587">
        <v>1580</v>
      </c>
      <c r="B1587">
        <v>2048</v>
      </c>
      <c r="C1587" t="s">
        <v>3561</v>
      </c>
      <c r="D1587" t="s">
        <v>473</v>
      </c>
      <c r="E1587" t="s">
        <v>122</v>
      </c>
      <c r="F1587" t="s">
        <v>3562</v>
      </c>
      <c r="G1587" t="str">
        <f>"00528900"</f>
        <v>00528900</v>
      </c>
      <c r="H1587">
        <v>36</v>
      </c>
      <c r="I1587">
        <v>0</v>
      </c>
      <c r="M1587">
        <v>0</v>
      </c>
      <c r="N1587">
        <v>4</v>
      </c>
      <c r="O1587">
        <v>2</v>
      </c>
      <c r="P1587">
        <v>42</v>
      </c>
      <c r="Q1587">
        <v>17</v>
      </c>
      <c r="R1587">
        <v>17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17</v>
      </c>
      <c r="Z1587">
        <v>6</v>
      </c>
      <c r="AA1587">
        <v>0</v>
      </c>
      <c r="AC1587">
        <v>65</v>
      </c>
    </row>
    <row r="1588" spans="1:29">
      <c r="A1588">
        <v>1581</v>
      </c>
      <c r="B1588">
        <v>362</v>
      </c>
      <c r="C1588" t="s">
        <v>3563</v>
      </c>
      <c r="D1588" t="s">
        <v>17</v>
      </c>
      <c r="E1588" t="s">
        <v>18</v>
      </c>
      <c r="F1588" t="s">
        <v>3564</v>
      </c>
      <c r="G1588" t="str">
        <f>"201510003530"</f>
        <v>201510003530</v>
      </c>
      <c r="H1588">
        <v>40</v>
      </c>
      <c r="I1588">
        <v>10</v>
      </c>
      <c r="J1588">
        <v>8</v>
      </c>
      <c r="M1588">
        <v>8</v>
      </c>
      <c r="N1588">
        <v>4</v>
      </c>
      <c r="O1588">
        <v>0</v>
      </c>
      <c r="P1588">
        <v>62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3</v>
      </c>
      <c r="AA1588">
        <v>0</v>
      </c>
      <c r="AC1588">
        <v>65</v>
      </c>
    </row>
    <row r="1589" spans="1:29">
      <c r="A1589">
        <v>1582</v>
      </c>
      <c r="B1589">
        <v>1184</v>
      </c>
      <c r="C1589" t="s">
        <v>710</v>
      </c>
      <c r="D1589" t="s">
        <v>164</v>
      </c>
      <c r="E1589" t="s">
        <v>18</v>
      </c>
      <c r="F1589" t="s">
        <v>3565</v>
      </c>
      <c r="G1589" t="str">
        <f>"00530392"</f>
        <v>00530392</v>
      </c>
      <c r="H1589">
        <v>33</v>
      </c>
      <c r="I1589">
        <v>0</v>
      </c>
      <c r="K1589">
        <v>6</v>
      </c>
      <c r="M1589">
        <v>6</v>
      </c>
      <c r="N1589">
        <v>4</v>
      </c>
      <c r="O1589">
        <v>2</v>
      </c>
      <c r="P1589">
        <v>45</v>
      </c>
      <c r="Q1589">
        <v>17</v>
      </c>
      <c r="R1589">
        <v>17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17</v>
      </c>
      <c r="Z1589">
        <v>3</v>
      </c>
      <c r="AA1589">
        <v>0</v>
      </c>
      <c r="AC1589">
        <v>65</v>
      </c>
    </row>
    <row r="1590" spans="1:29">
      <c r="A1590">
        <v>1583</v>
      </c>
      <c r="B1590">
        <v>51</v>
      </c>
      <c r="C1590" t="s">
        <v>3566</v>
      </c>
      <c r="D1590" t="s">
        <v>52</v>
      </c>
      <c r="E1590" t="s">
        <v>1527</v>
      </c>
      <c r="F1590" t="s">
        <v>3567</v>
      </c>
      <c r="G1590" t="str">
        <f>"201511026965"</f>
        <v>201511026965</v>
      </c>
      <c r="H1590">
        <v>0</v>
      </c>
      <c r="I1590">
        <v>10</v>
      </c>
      <c r="J1590">
        <v>8</v>
      </c>
      <c r="M1590">
        <v>8</v>
      </c>
      <c r="N1590">
        <v>4</v>
      </c>
      <c r="O1590">
        <v>2</v>
      </c>
      <c r="P1590">
        <v>24</v>
      </c>
      <c r="Q1590">
        <v>38</v>
      </c>
      <c r="R1590">
        <v>38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38</v>
      </c>
      <c r="Z1590">
        <v>3</v>
      </c>
      <c r="AA1590">
        <v>0</v>
      </c>
      <c r="AC1590">
        <v>65</v>
      </c>
    </row>
    <row r="1591" spans="1:29">
      <c r="A1591">
        <v>1584</v>
      </c>
      <c r="B1591">
        <v>1905</v>
      </c>
      <c r="C1591" t="s">
        <v>3568</v>
      </c>
      <c r="D1591" t="s">
        <v>739</v>
      </c>
      <c r="E1591" t="s">
        <v>79</v>
      </c>
      <c r="F1591" t="s">
        <v>3569</v>
      </c>
      <c r="G1591" t="str">
        <f>"00090273"</f>
        <v>00090273</v>
      </c>
      <c r="H1591">
        <v>40</v>
      </c>
      <c r="I1591">
        <v>0</v>
      </c>
      <c r="J1591">
        <v>8</v>
      </c>
      <c r="K1591">
        <v>6</v>
      </c>
      <c r="M1591">
        <v>14</v>
      </c>
      <c r="N1591">
        <v>4</v>
      </c>
      <c r="O1591">
        <v>2</v>
      </c>
      <c r="P1591">
        <v>60</v>
      </c>
      <c r="Q1591">
        <v>5</v>
      </c>
      <c r="R1591">
        <v>5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5</v>
      </c>
      <c r="Z1591">
        <v>0</v>
      </c>
      <c r="AA1591">
        <v>0</v>
      </c>
      <c r="AC1591">
        <v>65</v>
      </c>
    </row>
    <row r="1592" spans="1:29">
      <c r="A1592">
        <v>1585</v>
      </c>
      <c r="B1592">
        <v>2394</v>
      </c>
      <c r="C1592" t="s">
        <v>2825</v>
      </c>
      <c r="D1592" t="s">
        <v>35</v>
      </c>
      <c r="E1592" t="s">
        <v>564</v>
      </c>
      <c r="F1592" t="s">
        <v>3570</v>
      </c>
      <c r="G1592" t="str">
        <f>"00159791"</f>
        <v>00159791</v>
      </c>
      <c r="H1592">
        <v>38</v>
      </c>
      <c r="I1592">
        <v>10</v>
      </c>
      <c r="K1592">
        <v>6</v>
      </c>
      <c r="M1592">
        <v>6</v>
      </c>
      <c r="N1592">
        <v>4</v>
      </c>
      <c r="O1592">
        <v>0</v>
      </c>
      <c r="P1592">
        <v>58</v>
      </c>
      <c r="Q1592">
        <v>7</v>
      </c>
      <c r="R1592">
        <v>7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7</v>
      </c>
      <c r="Z1592">
        <v>0</v>
      </c>
      <c r="AA1592">
        <v>0</v>
      </c>
      <c r="AC1592">
        <v>65</v>
      </c>
    </row>
    <row r="1593" spans="1:29">
      <c r="A1593">
        <v>1586</v>
      </c>
      <c r="B1593">
        <v>1045</v>
      </c>
      <c r="C1593" t="s">
        <v>3571</v>
      </c>
      <c r="D1593" t="s">
        <v>159</v>
      </c>
      <c r="E1593" t="s">
        <v>115</v>
      </c>
      <c r="F1593" t="s">
        <v>3572</v>
      </c>
      <c r="G1593" t="str">
        <f>"00531584"</f>
        <v>00531584</v>
      </c>
      <c r="H1593">
        <v>30</v>
      </c>
      <c r="I1593">
        <v>10</v>
      </c>
      <c r="J1593">
        <v>8</v>
      </c>
      <c r="M1593">
        <v>8</v>
      </c>
      <c r="N1593">
        <v>4</v>
      </c>
      <c r="O1593">
        <v>2</v>
      </c>
      <c r="P1593">
        <v>54</v>
      </c>
      <c r="Q1593">
        <v>11</v>
      </c>
      <c r="R1593">
        <v>11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11</v>
      </c>
      <c r="Z1593">
        <v>0</v>
      </c>
      <c r="AA1593">
        <v>0</v>
      </c>
      <c r="AC1593">
        <v>65</v>
      </c>
    </row>
    <row r="1594" spans="1:29">
      <c r="A1594">
        <v>1587</v>
      </c>
      <c r="B1594">
        <v>3551</v>
      </c>
      <c r="C1594" t="s">
        <v>1529</v>
      </c>
      <c r="D1594" t="s">
        <v>179</v>
      </c>
      <c r="E1594" t="s">
        <v>15</v>
      </c>
      <c r="F1594" t="s">
        <v>3573</v>
      </c>
      <c r="G1594" t="str">
        <f>"00532832"</f>
        <v>00532832</v>
      </c>
      <c r="H1594">
        <v>28.8</v>
      </c>
      <c r="I1594">
        <v>0</v>
      </c>
      <c r="J1594">
        <v>8</v>
      </c>
      <c r="M1594">
        <v>8</v>
      </c>
      <c r="N1594">
        <v>4</v>
      </c>
      <c r="O1594">
        <v>2</v>
      </c>
      <c r="P1594">
        <v>42.8</v>
      </c>
      <c r="Q1594">
        <v>6</v>
      </c>
      <c r="R1594">
        <v>6</v>
      </c>
      <c r="S1594">
        <v>0</v>
      </c>
      <c r="T1594">
        <v>0</v>
      </c>
      <c r="U1594">
        <v>7</v>
      </c>
      <c r="V1594">
        <v>10</v>
      </c>
      <c r="W1594">
        <v>0</v>
      </c>
      <c r="X1594">
        <v>0</v>
      </c>
      <c r="Y1594">
        <v>16</v>
      </c>
      <c r="Z1594">
        <v>6</v>
      </c>
      <c r="AA1594">
        <v>0</v>
      </c>
      <c r="AC1594">
        <v>64.8</v>
      </c>
    </row>
    <row r="1595" spans="1:29">
      <c r="A1595">
        <v>1588</v>
      </c>
      <c r="B1595">
        <v>2126</v>
      </c>
      <c r="C1595" t="s">
        <v>3574</v>
      </c>
      <c r="D1595" t="s">
        <v>35</v>
      </c>
      <c r="E1595" t="s">
        <v>15</v>
      </c>
      <c r="F1595" t="s">
        <v>3575</v>
      </c>
      <c r="G1595" t="str">
        <f>"00124997"</f>
        <v>00124997</v>
      </c>
      <c r="H1595">
        <v>28.8</v>
      </c>
      <c r="I1595">
        <v>0</v>
      </c>
      <c r="J1595">
        <v>8</v>
      </c>
      <c r="M1595">
        <v>8</v>
      </c>
      <c r="N1595">
        <v>4</v>
      </c>
      <c r="O1595">
        <v>2</v>
      </c>
      <c r="P1595">
        <v>42.8</v>
      </c>
      <c r="Q1595">
        <v>16</v>
      </c>
      <c r="R1595">
        <v>16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16</v>
      </c>
      <c r="Z1595">
        <v>6</v>
      </c>
      <c r="AA1595">
        <v>0</v>
      </c>
      <c r="AC1595">
        <v>64.8</v>
      </c>
    </row>
    <row r="1596" spans="1:29">
      <c r="A1596">
        <v>1589</v>
      </c>
      <c r="B1596">
        <v>4056</v>
      </c>
      <c r="C1596" t="s">
        <v>3577</v>
      </c>
      <c r="D1596" t="s">
        <v>145</v>
      </c>
      <c r="E1596" t="s">
        <v>28</v>
      </c>
      <c r="F1596" t="s">
        <v>3578</v>
      </c>
      <c r="G1596" t="str">
        <f>"00861296"</f>
        <v>00861296</v>
      </c>
      <c r="H1596">
        <v>64.8</v>
      </c>
      <c r="I1596">
        <v>0</v>
      </c>
      <c r="M1596">
        <v>0</v>
      </c>
      <c r="N1596">
        <v>0</v>
      </c>
      <c r="O1596">
        <v>0</v>
      </c>
      <c r="P1596">
        <v>64.8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C1596">
        <v>64.8</v>
      </c>
    </row>
    <row r="1597" spans="1:29">
      <c r="A1597">
        <v>1590</v>
      </c>
      <c r="B1597">
        <v>3114</v>
      </c>
      <c r="C1597" t="s">
        <v>939</v>
      </c>
      <c r="D1597" t="s">
        <v>52</v>
      </c>
      <c r="E1597" t="s">
        <v>379</v>
      </c>
      <c r="F1597" t="s">
        <v>3576</v>
      </c>
      <c r="G1597" t="str">
        <f>"00860067"</f>
        <v>00860067</v>
      </c>
      <c r="H1597">
        <v>64.8</v>
      </c>
      <c r="I1597">
        <v>0</v>
      </c>
      <c r="M1597">
        <v>0</v>
      </c>
      <c r="N1597">
        <v>0</v>
      </c>
      <c r="O1597">
        <v>0</v>
      </c>
      <c r="P1597">
        <v>64.8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C1597">
        <v>64.8</v>
      </c>
    </row>
    <row r="1598" spans="1:29">
      <c r="A1598">
        <v>1591</v>
      </c>
      <c r="B1598">
        <v>790</v>
      </c>
      <c r="C1598" t="s">
        <v>3579</v>
      </c>
      <c r="D1598" t="s">
        <v>3580</v>
      </c>
      <c r="E1598" t="s">
        <v>79</v>
      </c>
      <c r="F1598" t="s">
        <v>3581</v>
      </c>
      <c r="G1598" t="str">
        <f>"00855516"</f>
        <v>00855516</v>
      </c>
      <c r="H1598">
        <v>28.8</v>
      </c>
      <c r="I1598">
        <v>0</v>
      </c>
      <c r="M1598">
        <v>0</v>
      </c>
      <c r="N1598">
        <v>0</v>
      </c>
      <c r="O1598">
        <v>0</v>
      </c>
      <c r="P1598">
        <v>28.8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9</v>
      </c>
      <c r="AA1598">
        <v>26.8</v>
      </c>
      <c r="AC1598">
        <v>64.599999999999994</v>
      </c>
    </row>
    <row r="1599" spans="1:29">
      <c r="A1599">
        <v>1592</v>
      </c>
      <c r="B1599">
        <v>3858</v>
      </c>
      <c r="C1599" t="s">
        <v>3584</v>
      </c>
      <c r="D1599" t="s">
        <v>1013</v>
      </c>
      <c r="E1599" t="s">
        <v>15</v>
      </c>
      <c r="F1599" t="s">
        <v>3585</v>
      </c>
      <c r="G1599" t="str">
        <f>"00854315"</f>
        <v>00854315</v>
      </c>
      <c r="H1599">
        <v>57.6</v>
      </c>
      <c r="I1599">
        <v>0</v>
      </c>
      <c r="M1599">
        <v>0</v>
      </c>
      <c r="N1599">
        <v>4</v>
      </c>
      <c r="O1599">
        <v>0</v>
      </c>
      <c r="P1599">
        <v>61.6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>
        <v>3</v>
      </c>
      <c r="AA1599">
        <v>0</v>
      </c>
      <c r="AC1599">
        <v>64.599999999999994</v>
      </c>
    </row>
    <row r="1600" spans="1:29">
      <c r="A1600">
        <v>1593</v>
      </c>
      <c r="B1600">
        <v>2516</v>
      </c>
      <c r="C1600" t="s">
        <v>3587</v>
      </c>
      <c r="D1600" t="s">
        <v>3588</v>
      </c>
      <c r="E1600" t="s">
        <v>3589</v>
      </c>
      <c r="F1600" t="s">
        <v>3590</v>
      </c>
      <c r="G1600" t="str">
        <f>"00524463"</f>
        <v>00524463</v>
      </c>
      <c r="H1600">
        <v>57.6</v>
      </c>
      <c r="I1600">
        <v>0</v>
      </c>
      <c r="L1600">
        <v>4</v>
      </c>
      <c r="M1600">
        <v>4</v>
      </c>
      <c r="N1600">
        <v>0</v>
      </c>
      <c r="O1600">
        <v>0</v>
      </c>
      <c r="P1600">
        <v>61.6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v>3</v>
      </c>
      <c r="AA1600">
        <v>0</v>
      </c>
      <c r="AC1600">
        <v>64.599999999999994</v>
      </c>
    </row>
    <row r="1601" spans="1:29">
      <c r="A1601">
        <v>1594</v>
      </c>
      <c r="B1601">
        <v>836</v>
      </c>
      <c r="C1601" t="s">
        <v>3582</v>
      </c>
      <c r="D1601" t="s">
        <v>820</v>
      </c>
      <c r="E1601" t="s">
        <v>36</v>
      </c>
      <c r="F1601" t="s">
        <v>3583</v>
      </c>
      <c r="G1601" t="str">
        <f>"00573798"</f>
        <v>00573798</v>
      </c>
      <c r="H1601">
        <v>57.6</v>
      </c>
      <c r="I1601">
        <v>0</v>
      </c>
      <c r="M1601">
        <v>0</v>
      </c>
      <c r="N1601">
        <v>4</v>
      </c>
      <c r="O1601">
        <v>0</v>
      </c>
      <c r="P1601">
        <v>61.6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3</v>
      </c>
      <c r="AA1601">
        <v>0</v>
      </c>
      <c r="AC1601">
        <v>64.599999999999994</v>
      </c>
    </row>
    <row r="1602" spans="1:29">
      <c r="A1602">
        <v>1595</v>
      </c>
      <c r="B1602">
        <v>4634</v>
      </c>
      <c r="C1602" t="s">
        <v>539</v>
      </c>
      <c r="D1602" t="s">
        <v>820</v>
      </c>
      <c r="E1602" t="s">
        <v>337</v>
      </c>
      <c r="F1602" t="s">
        <v>3586</v>
      </c>
      <c r="G1602" t="str">
        <f>"00865786"</f>
        <v>00865786</v>
      </c>
      <c r="H1602">
        <v>57.6</v>
      </c>
      <c r="I1602">
        <v>0</v>
      </c>
      <c r="M1602">
        <v>0</v>
      </c>
      <c r="N1602">
        <v>4</v>
      </c>
      <c r="O1602">
        <v>0</v>
      </c>
      <c r="P1602">
        <v>61.6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3</v>
      </c>
      <c r="AA1602">
        <v>0</v>
      </c>
      <c r="AC1602">
        <v>64.599999999999994</v>
      </c>
    </row>
    <row r="1603" spans="1:29">
      <c r="A1603">
        <v>1596</v>
      </c>
      <c r="B1603">
        <v>1122</v>
      </c>
      <c r="C1603" t="s">
        <v>3591</v>
      </c>
      <c r="D1603" t="s">
        <v>159</v>
      </c>
      <c r="E1603" t="s">
        <v>66</v>
      </c>
      <c r="F1603" t="s">
        <v>3592</v>
      </c>
      <c r="G1603" t="str">
        <f>"00272463"</f>
        <v>00272463</v>
      </c>
      <c r="H1603">
        <v>39.6</v>
      </c>
      <c r="I1603">
        <v>10</v>
      </c>
      <c r="K1603">
        <v>6</v>
      </c>
      <c r="M1603">
        <v>6</v>
      </c>
      <c r="N1603">
        <v>4</v>
      </c>
      <c r="O1603">
        <v>2</v>
      </c>
      <c r="P1603">
        <v>61.6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3</v>
      </c>
      <c r="AA1603">
        <v>0</v>
      </c>
      <c r="AC1603">
        <v>64.599999999999994</v>
      </c>
    </row>
    <row r="1604" spans="1:29">
      <c r="A1604">
        <v>1597</v>
      </c>
      <c r="B1604">
        <v>3970</v>
      </c>
      <c r="C1604" t="s">
        <v>3593</v>
      </c>
      <c r="D1604" t="s">
        <v>210</v>
      </c>
      <c r="E1604" t="s">
        <v>32</v>
      </c>
      <c r="F1604" t="s">
        <v>3594</v>
      </c>
      <c r="G1604" t="str">
        <f>"00485818"</f>
        <v>00485818</v>
      </c>
      <c r="H1604">
        <v>21.6</v>
      </c>
      <c r="I1604">
        <v>0</v>
      </c>
      <c r="L1604">
        <v>4</v>
      </c>
      <c r="M1604">
        <v>4</v>
      </c>
      <c r="N1604">
        <v>4</v>
      </c>
      <c r="O1604">
        <v>2</v>
      </c>
      <c r="P1604">
        <v>31.6</v>
      </c>
      <c r="Q1604">
        <v>30</v>
      </c>
      <c r="R1604">
        <v>30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30</v>
      </c>
      <c r="Z1604">
        <v>3</v>
      </c>
      <c r="AA1604">
        <v>0</v>
      </c>
      <c r="AC1604">
        <v>64.599999999999994</v>
      </c>
    </row>
    <row r="1605" spans="1:29">
      <c r="A1605">
        <v>1598</v>
      </c>
      <c r="B1605">
        <v>1482</v>
      </c>
      <c r="C1605" t="s">
        <v>3599</v>
      </c>
      <c r="D1605" t="s">
        <v>569</v>
      </c>
      <c r="E1605" t="s">
        <v>122</v>
      </c>
      <c r="F1605" t="s">
        <v>3600</v>
      </c>
      <c r="G1605" t="str">
        <f>"00201088"</f>
        <v>00201088</v>
      </c>
      <c r="H1605">
        <v>50.4</v>
      </c>
      <c r="I1605">
        <v>0</v>
      </c>
      <c r="L1605">
        <v>4</v>
      </c>
      <c r="M1605">
        <v>4</v>
      </c>
      <c r="N1605">
        <v>4</v>
      </c>
      <c r="O1605">
        <v>0</v>
      </c>
      <c r="P1605">
        <v>58.4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6</v>
      </c>
      <c r="AA1605">
        <v>0</v>
      </c>
      <c r="AC1605">
        <v>64.400000000000006</v>
      </c>
    </row>
    <row r="1606" spans="1:29">
      <c r="A1606">
        <v>1599</v>
      </c>
      <c r="B1606">
        <v>1446</v>
      </c>
      <c r="C1606" t="s">
        <v>3595</v>
      </c>
      <c r="D1606" t="s">
        <v>86</v>
      </c>
      <c r="E1606" t="s">
        <v>621</v>
      </c>
      <c r="F1606" t="s">
        <v>3596</v>
      </c>
      <c r="G1606" t="str">
        <f>"00557170"</f>
        <v>00557170</v>
      </c>
      <c r="H1606">
        <v>50.4</v>
      </c>
      <c r="I1606">
        <v>0</v>
      </c>
      <c r="L1606">
        <v>4</v>
      </c>
      <c r="M1606">
        <v>4</v>
      </c>
      <c r="N1606">
        <v>4</v>
      </c>
      <c r="O1606">
        <v>0</v>
      </c>
      <c r="P1606">
        <v>58.4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6</v>
      </c>
      <c r="AA1606">
        <v>0</v>
      </c>
      <c r="AC1606">
        <v>64.400000000000006</v>
      </c>
    </row>
    <row r="1607" spans="1:29">
      <c r="A1607">
        <v>1600</v>
      </c>
      <c r="B1607">
        <v>904</v>
      </c>
      <c r="C1607" t="s">
        <v>3597</v>
      </c>
      <c r="D1607" t="s">
        <v>31</v>
      </c>
      <c r="E1607" t="s">
        <v>115</v>
      </c>
      <c r="F1607" t="s">
        <v>3598</v>
      </c>
      <c r="G1607" t="str">
        <f>"00616211"</f>
        <v>00616211</v>
      </c>
      <c r="H1607">
        <v>50.4</v>
      </c>
      <c r="I1607">
        <v>0</v>
      </c>
      <c r="L1607">
        <v>4</v>
      </c>
      <c r="M1607">
        <v>4</v>
      </c>
      <c r="N1607">
        <v>4</v>
      </c>
      <c r="O1607">
        <v>0</v>
      </c>
      <c r="P1607">
        <v>58.4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6</v>
      </c>
      <c r="AA1607">
        <v>0</v>
      </c>
      <c r="AC1607">
        <v>64.400000000000006</v>
      </c>
    </row>
    <row r="1608" spans="1:29">
      <c r="A1608">
        <v>1601</v>
      </c>
      <c r="B1608">
        <v>976</v>
      </c>
      <c r="C1608" t="s">
        <v>3605</v>
      </c>
      <c r="D1608" t="s">
        <v>27</v>
      </c>
      <c r="E1608" t="s">
        <v>369</v>
      </c>
      <c r="F1608" t="s">
        <v>3606</v>
      </c>
      <c r="G1608" t="str">
        <f>"201201000110"</f>
        <v>201201000110</v>
      </c>
      <c r="H1608">
        <v>38.4</v>
      </c>
      <c r="I1608">
        <v>10</v>
      </c>
      <c r="L1608">
        <v>4</v>
      </c>
      <c r="M1608">
        <v>4</v>
      </c>
      <c r="N1608">
        <v>4</v>
      </c>
      <c r="O1608">
        <v>2</v>
      </c>
      <c r="P1608">
        <v>58.4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6</v>
      </c>
      <c r="AA1608">
        <v>0</v>
      </c>
      <c r="AC1608">
        <v>64.400000000000006</v>
      </c>
    </row>
    <row r="1609" spans="1:29">
      <c r="A1609">
        <v>1602</v>
      </c>
      <c r="B1609">
        <v>636</v>
      </c>
      <c r="C1609" t="s">
        <v>3601</v>
      </c>
      <c r="D1609" t="s">
        <v>3602</v>
      </c>
      <c r="E1609" t="s">
        <v>3603</v>
      </c>
      <c r="F1609" t="s">
        <v>3604</v>
      </c>
      <c r="G1609" t="str">
        <f>"00487889"</f>
        <v>00487889</v>
      </c>
      <c r="H1609">
        <v>38.4</v>
      </c>
      <c r="I1609">
        <v>10</v>
      </c>
      <c r="K1609">
        <v>6</v>
      </c>
      <c r="M1609">
        <v>6</v>
      </c>
      <c r="N1609">
        <v>4</v>
      </c>
      <c r="O1609">
        <v>0</v>
      </c>
      <c r="P1609">
        <v>58.4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6</v>
      </c>
      <c r="AA1609">
        <v>0</v>
      </c>
      <c r="AC1609">
        <v>64.400000000000006</v>
      </c>
    </row>
    <row r="1610" spans="1:29">
      <c r="A1610">
        <v>1603</v>
      </c>
      <c r="B1610">
        <v>1041</v>
      </c>
      <c r="C1610" t="s">
        <v>927</v>
      </c>
      <c r="D1610" t="s">
        <v>31</v>
      </c>
      <c r="E1610" t="s">
        <v>115</v>
      </c>
      <c r="F1610" t="s">
        <v>3634</v>
      </c>
      <c r="G1610" t="str">
        <f>"00428659"</f>
        <v>00428659</v>
      </c>
      <c r="H1610">
        <v>50.4</v>
      </c>
      <c r="I1610">
        <v>0</v>
      </c>
      <c r="J1610">
        <v>8</v>
      </c>
      <c r="M1610">
        <v>8</v>
      </c>
      <c r="N1610">
        <v>4</v>
      </c>
      <c r="O1610">
        <v>2</v>
      </c>
      <c r="P1610">
        <v>64.400000000000006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C1610">
        <v>64.400000000000006</v>
      </c>
    </row>
    <row r="1611" spans="1:29">
      <c r="A1611">
        <v>1604</v>
      </c>
      <c r="B1611">
        <v>1468</v>
      </c>
      <c r="C1611" t="s">
        <v>3468</v>
      </c>
      <c r="D1611" t="s">
        <v>784</v>
      </c>
      <c r="E1611" t="s">
        <v>134</v>
      </c>
      <c r="F1611" t="s">
        <v>3609</v>
      </c>
      <c r="G1611" t="str">
        <f>"00704600"</f>
        <v>00704600</v>
      </c>
      <c r="H1611">
        <v>50.4</v>
      </c>
      <c r="I1611">
        <v>0</v>
      </c>
      <c r="J1611">
        <v>8</v>
      </c>
      <c r="M1611">
        <v>8</v>
      </c>
      <c r="N1611">
        <v>4</v>
      </c>
      <c r="O1611">
        <v>2</v>
      </c>
      <c r="P1611">
        <v>64.400000000000006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  <c r="AC1611">
        <v>64.400000000000006</v>
      </c>
    </row>
    <row r="1612" spans="1:29">
      <c r="A1612">
        <v>1605</v>
      </c>
      <c r="B1612">
        <v>1366</v>
      </c>
      <c r="C1612" t="s">
        <v>3610</v>
      </c>
      <c r="D1612" t="s">
        <v>39</v>
      </c>
      <c r="E1612" t="s">
        <v>3139</v>
      </c>
      <c r="F1612" t="s">
        <v>3611</v>
      </c>
      <c r="G1612" t="str">
        <f>"00475943"</f>
        <v>00475943</v>
      </c>
      <c r="H1612">
        <v>50.4</v>
      </c>
      <c r="I1612">
        <v>0</v>
      </c>
      <c r="J1612">
        <v>8</v>
      </c>
      <c r="M1612">
        <v>8</v>
      </c>
      <c r="N1612">
        <v>4</v>
      </c>
      <c r="O1612">
        <v>2</v>
      </c>
      <c r="P1612">
        <v>64.400000000000006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0</v>
      </c>
      <c r="AC1612">
        <v>64.400000000000006</v>
      </c>
    </row>
    <row r="1613" spans="1:29">
      <c r="A1613">
        <v>1606</v>
      </c>
      <c r="B1613">
        <v>913</v>
      </c>
      <c r="C1613" t="s">
        <v>3615</v>
      </c>
      <c r="D1613" t="s">
        <v>27</v>
      </c>
      <c r="E1613" t="s">
        <v>53</v>
      </c>
      <c r="F1613" t="s">
        <v>3616</v>
      </c>
      <c r="G1613" t="str">
        <f>"00697528"</f>
        <v>00697528</v>
      </c>
      <c r="H1613">
        <v>50.4</v>
      </c>
      <c r="I1613">
        <v>0</v>
      </c>
      <c r="J1613">
        <v>8</v>
      </c>
      <c r="M1613">
        <v>8</v>
      </c>
      <c r="N1613">
        <v>4</v>
      </c>
      <c r="O1613">
        <v>2</v>
      </c>
      <c r="P1613">
        <v>64.400000000000006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  <c r="AC1613">
        <v>64.400000000000006</v>
      </c>
    </row>
    <row r="1614" spans="1:29">
      <c r="A1614">
        <v>1607</v>
      </c>
      <c r="B1614">
        <v>1210</v>
      </c>
      <c r="C1614" t="s">
        <v>3620</v>
      </c>
      <c r="D1614" t="s">
        <v>31</v>
      </c>
      <c r="E1614" t="s">
        <v>1020</v>
      </c>
      <c r="F1614" t="s">
        <v>3621</v>
      </c>
      <c r="G1614" t="str">
        <f>"00115515"</f>
        <v>00115515</v>
      </c>
      <c r="H1614">
        <v>50.4</v>
      </c>
      <c r="I1614">
        <v>0</v>
      </c>
      <c r="L1614">
        <v>8</v>
      </c>
      <c r="M1614">
        <v>8</v>
      </c>
      <c r="N1614">
        <v>4</v>
      </c>
      <c r="O1614">
        <v>2</v>
      </c>
      <c r="P1614">
        <v>64.400000000000006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0</v>
      </c>
      <c r="AC1614">
        <v>64.400000000000006</v>
      </c>
    </row>
    <row r="1615" spans="1:29">
      <c r="A1615">
        <v>1608</v>
      </c>
      <c r="B1615">
        <v>333</v>
      </c>
      <c r="C1615" t="s">
        <v>3632</v>
      </c>
      <c r="D1615" t="s">
        <v>24</v>
      </c>
      <c r="E1615" t="s">
        <v>66</v>
      </c>
      <c r="F1615" t="s">
        <v>3633</v>
      </c>
      <c r="G1615" t="str">
        <f>"00263420"</f>
        <v>00263420</v>
      </c>
      <c r="H1615">
        <v>50.4</v>
      </c>
      <c r="I1615">
        <v>10</v>
      </c>
      <c r="M1615">
        <v>0</v>
      </c>
      <c r="N1615">
        <v>4</v>
      </c>
      <c r="O1615">
        <v>0</v>
      </c>
      <c r="P1615">
        <v>64.400000000000006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C1615">
        <v>64.400000000000006</v>
      </c>
    </row>
    <row r="1616" spans="1:29">
      <c r="A1616">
        <v>1609</v>
      </c>
      <c r="B1616">
        <v>683</v>
      </c>
      <c r="C1616" t="s">
        <v>3612</v>
      </c>
      <c r="D1616" t="s">
        <v>465</v>
      </c>
      <c r="E1616" t="s">
        <v>3613</v>
      </c>
      <c r="F1616" t="s">
        <v>3614</v>
      </c>
      <c r="G1616" t="str">
        <f>"00493950"</f>
        <v>00493950</v>
      </c>
      <c r="H1616">
        <v>50.4</v>
      </c>
      <c r="I1616">
        <v>0</v>
      </c>
      <c r="J1616">
        <v>8</v>
      </c>
      <c r="M1616">
        <v>8</v>
      </c>
      <c r="N1616">
        <v>4</v>
      </c>
      <c r="O1616">
        <v>2</v>
      </c>
      <c r="P1616">
        <v>64.400000000000006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C1616">
        <v>64.400000000000006</v>
      </c>
    </row>
    <row r="1617" spans="1:29">
      <c r="A1617">
        <v>1610</v>
      </c>
      <c r="B1617">
        <v>1067</v>
      </c>
      <c r="C1617" t="s">
        <v>3623</v>
      </c>
      <c r="D1617" t="s">
        <v>3624</v>
      </c>
      <c r="E1617" t="s">
        <v>53</v>
      </c>
      <c r="F1617" t="s">
        <v>3625</v>
      </c>
      <c r="G1617" t="str">
        <f>"00857996"</f>
        <v>00857996</v>
      </c>
      <c r="H1617">
        <v>50.4</v>
      </c>
      <c r="I1617">
        <v>10</v>
      </c>
      <c r="M1617">
        <v>0</v>
      </c>
      <c r="N1617">
        <v>4</v>
      </c>
      <c r="O1617">
        <v>0</v>
      </c>
      <c r="P1617">
        <v>64.400000000000006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C1617">
        <v>64.400000000000006</v>
      </c>
    </row>
    <row r="1618" spans="1:29">
      <c r="A1618">
        <v>1611</v>
      </c>
      <c r="B1618">
        <v>49</v>
      </c>
      <c r="C1618" t="s">
        <v>1457</v>
      </c>
      <c r="D1618" t="s">
        <v>69</v>
      </c>
      <c r="E1618" t="s">
        <v>18</v>
      </c>
      <c r="F1618" t="s">
        <v>3622</v>
      </c>
      <c r="G1618" t="str">
        <f>"00609863"</f>
        <v>00609863</v>
      </c>
      <c r="H1618">
        <v>50.4</v>
      </c>
      <c r="I1618">
        <v>0</v>
      </c>
      <c r="J1618">
        <v>8</v>
      </c>
      <c r="M1618">
        <v>8</v>
      </c>
      <c r="N1618">
        <v>4</v>
      </c>
      <c r="O1618">
        <v>2</v>
      </c>
      <c r="P1618">
        <v>64.400000000000006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C1618">
        <v>64.400000000000006</v>
      </c>
    </row>
    <row r="1619" spans="1:29">
      <c r="A1619">
        <v>1612</v>
      </c>
      <c r="B1619">
        <v>4499</v>
      </c>
      <c r="C1619" t="s">
        <v>3626</v>
      </c>
      <c r="D1619" t="s">
        <v>159</v>
      </c>
      <c r="E1619" t="s">
        <v>36</v>
      </c>
      <c r="F1619" t="s">
        <v>3627</v>
      </c>
      <c r="G1619" t="str">
        <f>"00596994"</f>
        <v>00596994</v>
      </c>
      <c r="H1619">
        <v>50.4</v>
      </c>
      <c r="I1619">
        <v>0</v>
      </c>
      <c r="J1619">
        <v>8</v>
      </c>
      <c r="M1619">
        <v>8</v>
      </c>
      <c r="N1619">
        <v>4</v>
      </c>
      <c r="O1619">
        <v>2</v>
      </c>
      <c r="P1619">
        <v>64.400000000000006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C1619">
        <v>64.400000000000006</v>
      </c>
    </row>
    <row r="1620" spans="1:29">
      <c r="A1620">
        <v>1613</v>
      </c>
      <c r="B1620">
        <v>2975</v>
      </c>
      <c r="C1620" t="s">
        <v>3607</v>
      </c>
      <c r="D1620" t="s">
        <v>164</v>
      </c>
      <c r="E1620" t="s">
        <v>66</v>
      </c>
      <c r="F1620" t="s">
        <v>3608</v>
      </c>
      <c r="G1620" t="str">
        <f>"00129190"</f>
        <v>00129190</v>
      </c>
      <c r="H1620">
        <v>50.4</v>
      </c>
      <c r="I1620">
        <v>0</v>
      </c>
      <c r="J1620">
        <v>8</v>
      </c>
      <c r="M1620">
        <v>8</v>
      </c>
      <c r="N1620">
        <v>4</v>
      </c>
      <c r="O1620">
        <v>2</v>
      </c>
      <c r="P1620">
        <v>64.400000000000006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C1620">
        <v>64.400000000000006</v>
      </c>
    </row>
    <row r="1621" spans="1:29">
      <c r="A1621">
        <v>1614</v>
      </c>
      <c r="B1621">
        <v>433</v>
      </c>
      <c r="C1621" t="s">
        <v>3630</v>
      </c>
      <c r="D1621" t="s">
        <v>20</v>
      </c>
      <c r="E1621" t="s">
        <v>50</v>
      </c>
      <c r="F1621" t="s">
        <v>3631</v>
      </c>
      <c r="G1621" t="str">
        <f>"00121124"</f>
        <v>00121124</v>
      </c>
      <c r="H1621">
        <v>50.4</v>
      </c>
      <c r="I1621">
        <v>0</v>
      </c>
      <c r="J1621">
        <v>8</v>
      </c>
      <c r="M1621">
        <v>8</v>
      </c>
      <c r="N1621">
        <v>4</v>
      </c>
      <c r="O1621">
        <v>2</v>
      </c>
      <c r="P1621">
        <v>64.400000000000006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C1621">
        <v>64.400000000000006</v>
      </c>
    </row>
    <row r="1622" spans="1:29">
      <c r="A1622">
        <v>1615</v>
      </c>
      <c r="B1622">
        <v>1712</v>
      </c>
      <c r="C1622" t="s">
        <v>3628</v>
      </c>
      <c r="D1622" t="s">
        <v>261</v>
      </c>
      <c r="E1622" t="s">
        <v>134</v>
      </c>
      <c r="F1622" t="s">
        <v>3629</v>
      </c>
      <c r="G1622" t="str">
        <f>"201406014363"</f>
        <v>201406014363</v>
      </c>
      <c r="H1622">
        <v>50.4</v>
      </c>
      <c r="I1622">
        <v>0</v>
      </c>
      <c r="K1622">
        <v>6</v>
      </c>
      <c r="L1622">
        <v>4</v>
      </c>
      <c r="M1622">
        <v>10</v>
      </c>
      <c r="N1622">
        <v>4</v>
      </c>
      <c r="O1622">
        <v>0</v>
      </c>
      <c r="P1622">
        <v>64.400000000000006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C1622">
        <v>64.400000000000006</v>
      </c>
    </row>
    <row r="1623" spans="1:29">
      <c r="A1623">
        <v>1616</v>
      </c>
      <c r="B1623">
        <v>1216</v>
      </c>
      <c r="C1623" t="s">
        <v>3617</v>
      </c>
      <c r="D1623" t="s">
        <v>3618</v>
      </c>
      <c r="E1623" t="s">
        <v>15</v>
      </c>
      <c r="F1623" t="s">
        <v>3619</v>
      </c>
      <c r="G1623" t="str">
        <f>"00523586"</f>
        <v>00523586</v>
      </c>
      <c r="H1623">
        <v>50.4</v>
      </c>
      <c r="I1623">
        <v>0</v>
      </c>
      <c r="J1623">
        <v>8</v>
      </c>
      <c r="M1623">
        <v>8</v>
      </c>
      <c r="N1623">
        <v>4</v>
      </c>
      <c r="O1623">
        <v>2</v>
      </c>
      <c r="P1623">
        <v>64.400000000000006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0</v>
      </c>
      <c r="AC1623">
        <v>64.400000000000006</v>
      </c>
    </row>
    <row r="1624" spans="1:29">
      <c r="A1624">
        <v>1617</v>
      </c>
      <c r="B1624">
        <v>742</v>
      </c>
      <c r="C1624" t="s">
        <v>3635</v>
      </c>
      <c r="D1624" t="s">
        <v>185</v>
      </c>
      <c r="E1624" t="s">
        <v>227</v>
      </c>
      <c r="F1624" t="s">
        <v>3636</v>
      </c>
      <c r="G1624" t="str">
        <f>"00444160"</f>
        <v>00444160</v>
      </c>
      <c r="H1624">
        <v>50.4</v>
      </c>
      <c r="I1624">
        <v>0</v>
      </c>
      <c r="L1624">
        <v>4</v>
      </c>
      <c r="M1624">
        <v>4</v>
      </c>
      <c r="N1624">
        <v>0</v>
      </c>
      <c r="O1624">
        <v>2</v>
      </c>
      <c r="P1624">
        <v>56.4</v>
      </c>
      <c r="Q1624">
        <v>8</v>
      </c>
      <c r="R1624">
        <v>8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8</v>
      </c>
      <c r="Z1624">
        <v>0</v>
      </c>
      <c r="AA1624">
        <v>0</v>
      </c>
      <c r="AC1624">
        <v>64.400000000000006</v>
      </c>
    </row>
    <row r="1625" spans="1:29">
      <c r="A1625">
        <v>1618</v>
      </c>
      <c r="B1625">
        <v>4782</v>
      </c>
      <c r="C1625" t="s">
        <v>3637</v>
      </c>
      <c r="D1625" t="s">
        <v>27</v>
      </c>
      <c r="E1625" t="s">
        <v>50</v>
      </c>
      <c r="F1625" t="s">
        <v>3638</v>
      </c>
      <c r="G1625" t="str">
        <f>"00529674"</f>
        <v>00529674</v>
      </c>
      <c r="H1625">
        <v>50.4</v>
      </c>
      <c r="I1625">
        <v>0</v>
      </c>
      <c r="M1625">
        <v>0</v>
      </c>
      <c r="N1625">
        <v>0</v>
      </c>
      <c r="O1625">
        <v>0</v>
      </c>
      <c r="P1625">
        <v>50.4</v>
      </c>
      <c r="Q1625">
        <v>14</v>
      </c>
      <c r="R1625">
        <v>14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14</v>
      </c>
      <c r="Z1625">
        <v>0</v>
      </c>
      <c r="AA1625">
        <v>0</v>
      </c>
      <c r="AC1625">
        <v>64.400000000000006</v>
      </c>
    </row>
    <row r="1626" spans="1:29">
      <c r="A1626">
        <v>1619</v>
      </c>
      <c r="B1626">
        <v>2621</v>
      </c>
      <c r="C1626" t="s">
        <v>3639</v>
      </c>
      <c r="D1626" t="s">
        <v>3640</v>
      </c>
      <c r="E1626" t="s">
        <v>66</v>
      </c>
      <c r="F1626" t="s">
        <v>3641</v>
      </c>
      <c r="G1626" t="str">
        <f>"00531564"</f>
        <v>00531564</v>
      </c>
      <c r="H1626">
        <v>33.32</v>
      </c>
      <c r="I1626">
        <v>0</v>
      </c>
      <c r="L1626">
        <v>4</v>
      </c>
      <c r="M1626">
        <v>4</v>
      </c>
      <c r="N1626">
        <v>4</v>
      </c>
      <c r="O1626">
        <v>2</v>
      </c>
      <c r="P1626">
        <v>43.32</v>
      </c>
      <c r="Q1626">
        <v>15</v>
      </c>
      <c r="R1626">
        <v>15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15</v>
      </c>
      <c r="Z1626">
        <v>6</v>
      </c>
      <c r="AA1626">
        <v>0</v>
      </c>
      <c r="AC1626">
        <v>64.319999999999993</v>
      </c>
    </row>
    <row r="1627" spans="1:29">
      <c r="A1627">
        <v>1620</v>
      </c>
      <c r="B1627">
        <v>2964</v>
      </c>
      <c r="C1627" t="s">
        <v>3642</v>
      </c>
      <c r="D1627" t="s">
        <v>147</v>
      </c>
      <c r="E1627" t="s">
        <v>436</v>
      </c>
      <c r="F1627" t="s">
        <v>3643</v>
      </c>
      <c r="G1627" t="str">
        <f>"00531452"</f>
        <v>00531452</v>
      </c>
      <c r="H1627">
        <v>23.28</v>
      </c>
      <c r="I1627">
        <v>0</v>
      </c>
      <c r="M1627">
        <v>0</v>
      </c>
      <c r="N1627">
        <v>4</v>
      </c>
      <c r="O1627">
        <v>0</v>
      </c>
      <c r="P1627">
        <v>27.28</v>
      </c>
      <c r="Q1627">
        <v>34</v>
      </c>
      <c r="R1627">
        <v>34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34</v>
      </c>
      <c r="Z1627">
        <v>3</v>
      </c>
      <c r="AA1627">
        <v>0</v>
      </c>
      <c r="AC1627">
        <v>64.28</v>
      </c>
    </row>
    <row r="1628" spans="1:29">
      <c r="A1628">
        <v>1621</v>
      </c>
      <c r="B1628">
        <v>884</v>
      </c>
      <c r="C1628" t="s">
        <v>3644</v>
      </c>
      <c r="D1628" t="s">
        <v>167</v>
      </c>
      <c r="E1628" t="s">
        <v>156</v>
      </c>
      <c r="F1628" t="s">
        <v>3645</v>
      </c>
      <c r="G1628" t="str">
        <f>"200808000593"</f>
        <v>200808000593</v>
      </c>
      <c r="H1628">
        <v>0</v>
      </c>
      <c r="I1628">
        <v>0</v>
      </c>
      <c r="M1628">
        <v>0</v>
      </c>
      <c r="N1628">
        <v>4</v>
      </c>
      <c r="O1628">
        <v>0</v>
      </c>
      <c r="P1628">
        <v>4</v>
      </c>
      <c r="Q1628">
        <v>28</v>
      </c>
      <c r="R1628">
        <v>28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28</v>
      </c>
      <c r="Z1628">
        <v>0</v>
      </c>
      <c r="AA1628">
        <v>32</v>
      </c>
      <c r="AC1628">
        <v>64</v>
      </c>
    </row>
    <row r="1629" spans="1:29">
      <c r="A1629">
        <v>1622</v>
      </c>
      <c r="B1629">
        <v>1394</v>
      </c>
      <c r="C1629" t="s">
        <v>3646</v>
      </c>
      <c r="D1629" t="s">
        <v>448</v>
      </c>
      <c r="E1629" t="s">
        <v>28</v>
      </c>
      <c r="F1629" t="s">
        <v>3647</v>
      </c>
      <c r="G1629" t="str">
        <f>"00857238"</f>
        <v>00857238</v>
      </c>
      <c r="H1629">
        <v>38</v>
      </c>
      <c r="I1629">
        <v>10</v>
      </c>
      <c r="L1629">
        <v>4</v>
      </c>
      <c r="M1629">
        <v>4</v>
      </c>
      <c r="N1629">
        <v>4</v>
      </c>
      <c r="O1629">
        <v>2</v>
      </c>
      <c r="P1629">
        <v>58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6</v>
      </c>
      <c r="AA1629">
        <v>0</v>
      </c>
      <c r="AC1629">
        <v>64</v>
      </c>
    </row>
    <row r="1630" spans="1:29">
      <c r="A1630">
        <v>1623</v>
      </c>
      <c r="B1630">
        <v>3257</v>
      </c>
      <c r="C1630" t="s">
        <v>3648</v>
      </c>
      <c r="D1630" t="s">
        <v>3649</v>
      </c>
      <c r="E1630" t="s">
        <v>134</v>
      </c>
      <c r="F1630" t="s">
        <v>3650</v>
      </c>
      <c r="G1630" t="str">
        <f>"00521202"</f>
        <v>00521202</v>
      </c>
      <c r="H1630">
        <v>36</v>
      </c>
      <c r="I1630">
        <v>0</v>
      </c>
      <c r="M1630">
        <v>0</v>
      </c>
      <c r="N1630">
        <v>4</v>
      </c>
      <c r="O1630">
        <v>0</v>
      </c>
      <c r="P1630">
        <v>40</v>
      </c>
      <c r="Q1630">
        <v>18</v>
      </c>
      <c r="R1630">
        <v>18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18</v>
      </c>
      <c r="Z1630">
        <v>6</v>
      </c>
      <c r="AA1630">
        <v>0</v>
      </c>
      <c r="AC1630">
        <v>64</v>
      </c>
    </row>
    <row r="1631" spans="1:29">
      <c r="A1631">
        <v>1624</v>
      </c>
      <c r="B1631">
        <v>17</v>
      </c>
      <c r="C1631" t="s">
        <v>3651</v>
      </c>
      <c r="D1631" t="s">
        <v>164</v>
      </c>
      <c r="E1631" t="s">
        <v>3108</v>
      </c>
      <c r="F1631" t="s">
        <v>3652</v>
      </c>
      <c r="G1631" t="str">
        <f>"00514623"</f>
        <v>00514623</v>
      </c>
      <c r="H1631">
        <v>36</v>
      </c>
      <c r="I1631">
        <v>0</v>
      </c>
      <c r="L1631">
        <v>4</v>
      </c>
      <c r="M1631">
        <v>4</v>
      </c>
      <c r="N1631">
        <v>0</v>
      </c>
      <c r="O1631">
        <v>0</v>
      </c>
      <c r="P1631">
        <v>40</v>
      </c>
      <c r="Q1631">
        <v>21</v>
      </c>
      <c r="R1631">
        <v>21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21</v>
      </c>
      <c r="Z1631">
        <v>3</v>
      </c>
      <c r="AA1631">
        <v>0</v>
      </c>
      <c r="AC1631">
        <v>64</v>
      </c>
    </row>
    <row r="1632" spans="1:29">
      <c r="A1632">
        <v>1625</v>
      </c>
      <c r="B1632">
        <v>3481</v>
      </c>
      <c r="C1632" t="s">
        <v>195</v>
      </c>
      <c r="D1632" t="s">
        <v>248</v>
      </c>
      <c r="E1632" t="s">
        <v>28</v>
      </c>
      <c r="F1632" t="s">
        <v>3653</v>
      </c>
      <c r="G1632" t="str">
        <f>"00530489"</f>
        <v>00530489</v>
      </c>
      <c r="H1632">
        <v>36</v>
      </c>
      <c r="I1632">
        <v>10</v>
      </c>
      <c r="L1632">
        <v>4</v>
      </c>
      <c r="M1632">
        <v>4</v>
      </c>
      <c r="N1632">
        <v>4</v>
      </c>
      <c r="O1632">
        <v>2</v>
      </c>
      <c r="P1632">
        <v>56</v>
      </c>
      <c r="Q1632">
        <v>8</v>
      </c>
      <c r="R1632">
        <v>8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8</v>
      </c>
      <c r="Z1632">
        <v>0</v>
      </c>
      <c r="AA1632">
        <v>0</v>
      </c>
      <c r="AC1632">
        <v>64</v>
      </c>
    </row>
    <row r="1633" spans="1:29">
      <c r="A1633">
        <v>1626</v>
      </c>
      <c r="B1633">
        <v>2016</v>
      </c>
      <c r="C1633" t="s">
        <v>3654</v>
      </c>
      <c r="D1633" t="s">
        <v>2378</v>
      </c>
      <c r="E1633" t="s">
        <v>18</v>
      </c>
      <c r="F1633" t="s">
        <v>3655</v>
      </c>
      <c r="G1633" t="str">
        <f>"00531881"</f>
        <v>00531881</v>
      </c>
      <c r="H1633">
        <v>36</v>
      </c>
      <c r="I1633">
        <v>0</v>
      </c>
      <c r="L1633">
        <v>4</v>
      </c>
      <c r="M1633">
        <v>4</v>
      </c>
      <c r="N1633">
        <v>4</v>
      </c>
      <c r="O1633">
        <v>2</v>
      </c>
      <c r="P1633">
        <v>46</v>
      </c>
      <c r="Q1633">
        <v>18</v>
      </c>
      <c r="R1633">
        <v>18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18</v>
      </c>
      <c r="Z1633">
        <v>0</v>
      </c>
      <c r="AA1633">
        <v>0</v>
      </c>
      <c r="AC1633">
        <v>64</v>
      </c>
    </row>
    <row r="1634" spans="1:29">
      <c r="A1634">
        <v>1627</v>
      </c>
      <c r="B1634">
        <v>2792</v>
      </c>
      <c r="C1634" t="s">
        <v>3656</v>
      </c>
      <c r="D1634" t="s">
        <v>3657</v>
      </c>
      <c r="E1634" t="s">
        <v>227</v>
      </c>
      <c r="F1634" t="s">
        <v>3658</v>
      </c>
      <c r="G1634" t="str">
        <f>"00533829"</f>
        <v>00533829</v>
      </c>
      <c r="H1634">
        <v>36</v>
      </c>
      <c r="I1634">
        <v>0</v>
      </c>
      <c r="L1634">
        <v>4</v>
      </c>
      <c r="M1634">
        <v>4</v>
      </c>
      <c r="N1634">
        <v>4</v>
      </c>
      <c r="O1634">
        <v>2</v>
      </c>
      <c r="P1634">
        <v>46</v>
      </c>
      <c r="Q1634">
        <v>18</v>
      </c>
      <c r="R1634">
        <v>18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18</v>
      </c>
      <c r="Z1634">
        <v>0</v>
      </c>
      <c r="AA1634">
        <v>0</v>
      </c>
      <c r="AC1634">
        <v>64</v>
      </c>
    </row>
    <row r="1635" spans="1:29">
      <c r="A1635">
        <v>1628</v>
      </c>
      <c r="B1635">
        <v>497</v>
      </c>
      <c r="C1635" t="s">
        <v>3659</v>
      </c>
      <c r="D1635" t="s">
        <v>554</v>
      </c>
      <c r="E1635" t="s">
        <v>18</v>
      </c>
      <c r="F1635" t="s">
        <v>3660</v>
      </c>
      <c r="G1635" t="str">
        <f>"201511029873"</f>
        <v>201511029873</v>
      </c>
      <c r="H1635">
        <v>36.799999999999997</v>
      </c>
      <c r="I1635">
        <v>10</v>
      </c>
      <c r="L1635">
        <v>4</v>
      </c>
      <c r="M1635">
        <v>4</v>
      </c>
      <c r="N1635">
        <v>4</v>
      </c>
      <c r="O1635">
        <v>0</v>
      </c>
      <c r="P1635">
        <v>54.8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9</v>
      </c>
      <c r="AA1635">
        <v>0</v>
      </c>
      <c r="AC1635">
        <v>63.8</v>
      </c>
    </row>
    <row r="1636" spans="1:29">
      <c r="A1636">
        <v>1629</v>
      </c>
      <c r="B1636">
        <v>2537</v>
      </c>
      <c r="C1636" t="s">
        <v>3661</v>
      </c>
      <c r="D1636" t="s">
        <v>31</v>
      </c>
      <c r="E1636" t="s">
        <v>889</v>
      </c>
      <c r="F1636" t="s">
        <v>3662</v>
      </c>
      <c r="G1636" t="str">
        <f>"00401728"</f>
        <v>00401728</v>
      </c>
      <c r="H1636">
        <v>28.8</v>
      </c>
      <c r="I1636">
        <v>0</v>
      </c>
      <c r="J1636">
        <v>8</v>
      </c>
      <c r="M1636">
        <v>8</v>
      </c>
      <c r="N1636">
        <v>4</v>
      </c>
      <c r="O1636">
        <v>2</v>
      </c>
      <c r="P1636">
        <v>42.8</v>
      </c>
      <c r="Q1636">
        <v>15</v>
      </c>
      <c r="R1636">
        <v>15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15</v>
      </c>
      <c r="Z1636">
        <v>6</v>
      </c>
      <c r="AA1636">
        <v>0</v>
      </c>
      <c r="AC1636">
        <v>63.8</v>
      </c>
    </row>
    <row r="1637" spans="1:29">
      <c r="A1637">
        <v>1630</v>
      </c>
      <c r="B1637">
        <v>2810</v>
      </c>
      <c r="C1637" t="s">
        <v>3663</v>
      </c>
      <c r="D1637" t="s">
        <v>1958</v>
      </c>
      <c r="E1637" t="s">
        <v>533</v>
      </c>
      <c r="F1637" t="s">
        <v>3664</v>
      </c>
      <c r="G1637" t="str">
        <f>"00524967"</f>
        <v>00524967</v>
      </c>
      <c r="H1637">
        <v>28.8</v>
      </c>
      <c r="I1637">
        <v>0</v>
      </c>
      <c r="M1637">
        <v>0</v>
      </c>
      <c r="N1637">
        <v>4</v>
      </c>
      <c r="O1637">
        <v>0</v>
      </c>
      <c r="P1637">
        <v>32.799999999999997</v>
      </c>
      <c r="Q1637">
        <v>25</v>
      </c>
      <c r="R1637">
        <v>25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25</v>
      </c>
      <c r="Z1637">
        <v>6</v>
      </c>
      <c r="AA1637">
        <v>0</v>
      </c>
      <c r="AC1637">
        <v>63.8</v>
      </c>
    </row>
    <row r="1638" spans="1:29">
      <c r="A1638">
        <v>1631</v>
      </c>
      <c r="B1638">
        <v>3393</v>
      </c>
      <c r="C1638" t="s">
        <v>3665</v>
      </c>
      <c r="D1638" t="s">
        <v>108</v>
      </c>
      <c r="E1638" t="s">
        <v>15</v>
      </c>
      <c r="F1638" t="s">
        <v>3666</v>
      </c>
      <c r="G1638" t="str">
        <f>"00356322"</f>
        <v>00356322</v>
      </c>
      <c r="H1638">
        <v>36.799999999999997</v>
      </c>
      <c r="I1638">
        <v>10</v>
      </c>
      <c r="J1638">
        <v>8</v>
      </c>
      <c r="M1638">
        <v>8</v>
      </c>
      <c r="N1638">
        <v>4</v>
      </c>
      <c r="O1638">
        <v>2</v>
      </c>
      <c r="P1638">
        <v>60.8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3</v>
      </c>
      <c r="AA1638">
        <v>0</v>
      </c>
      <c r="AC1638">
        <v>63.8</v>
      </c>
    </row>
    <row r="1639" spans="1:29">
      <c r="A1639">
        <v>1632</v>
      </c>
      <c r="B1639">
        <v>1691</v>
      </c>
      <c r="C1639" t="s">
        <v>2949</v>
      </c>
      <c r="D1639" t="s">
        <v>20</v>
      </c>
      <c r="E1639" t="s">
        <v>66</v>
      </c>
      <c r="F1639" t="s">
        <v>3667</v>
      </c>
      <c r="G1639" t="str">
        <f>"00079616"</f>
        <v>00079616</v>
      </c>
      <c r="H1639">
        <v>28.8</v>
      </c>
      <c r="I1639">
        <v>0</v>
      </c>
      <c r="L1639">
        <v>4</v>
      </c>
      <c r="M1639">
        <v>4</v>
      </c>
      <c r="N1639">
        <v>4</v>
      </c>
      <c r="O1639">
        <v>0</v>
      </c>
      <c r="P1639">
        <v>36.799999999999997</v>
      </c>
      <c r="Q1639">
        <v>24</v>
      </c>
      <c r="R1639">
        <v>24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24</v>
      </c>
      <c r="Z1639">
        <v>3</v>
      </c>
      <c r="AA1639">
        <v>0</v>
      </c>
      <c r="AC1639">
        <v>63.8</v>
      </c>
    </row>
    <row r="1640" spans="1:29">
      <c r="A1640">
        <v>1633</v>
      </c>
      <c r="B1640">
        <v>2054</v>
      </c>
      <c r="C1640" t="s">
        <v>3668</v>
      </c>
      <c r="D1640" t="s">
        <v>3669</v>
      </c>
      <c r="E1640" t="s">
        <v>165</v>
      </c>
      <c r="F1640" t="s">
        <v>3670</v>
      </c>
      <c r="G1640" t="str">
        <f>"201511012904"</f>
        <v>201511012904</v>
      </c>
      <c r="H1640">
        <v>9.8000000000000007</v>
      </c>
      <c r="I1640">
        <v>0</v>
      </c>
      <c r="M1640">
        <v>0</v>
      </c>
      <c r="N1640">
        <v>4</v>
      </c>
      <c r="O1640">
        <v>2</v>
      </c>
      <c r="P1640">
        <v>15.8</v>
      </c>
      <c r="Q1640">
        <v>45</v>
      </c>
      <c r="R1640">
        <v>45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45</v>
      </c>
      <c r="Z1640">
        <v>3</v>
      </c>
      <c r="AA1640">
        <v>0</v>
      </c>
      <c r="AC1640">
        <v>63.8</v>
      </c>
    </row>
    <row r="1641" spans="1:29">
      <c r="A1641">
        <v>1634</v>
      </c>
      <c r="B1641">
        <v>1219</v>
      </c>
      <c r="C1641" t="s">
        <v>3671</v>
      </c>
      <c r="D1641" t="s">
        <v>108</v>
      </c>
      <c r="E1641" t="s">
        <v>36</v>
      </c>
      <c r="F1641" t="s">
        <v>3672</v>
      </c>
      <c r="G1641" t="str">
        <f>"201412000315"</f>
        <v>201412000315</v>
      </c>
      <c r="H1641">
        <v>36.799999999999997</v>
      </c>
      <c r="I1641">
        <v>0</v>
      </c>
      <c r="L1641">
        <v>4</v>
      </c>
      <c r="M1641">
        <v>4</v>
      </c>
      <c r="N1641">
        <v>4</v>
      </c>
      <c r="O1641">
        <v>2</v>
      </c>
      <c r="P1641">
        <v>46.8</v>
      </c>
      <c r="Q1641">
        <v>17</v>
      </c>
      <c r="R1641">
        <v>17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17</v>
      </c>
      <c r="Z1641">
        <v>0</v>
      </c>
      <c r="AA1641">
        <v>0</v>
      </c>
      <c r="AC1641">
        <v>63.8</v>
      </c>
    </row>
    <row r="1642" spans="1:29">
      <c r="A1642">
        <v>1635</v>
      </c>
      <c r="B1642">
        <v>2217</v>
      </c>
      <c r="C1642" t="s">
        <v>3673</v>
      </c>
      <c r="D1642" t="s">
        <v>121</v>
      </c>
      <c r="E1642" t="s">
        <v>99</v>
      </c>
      <c r="F1642" t="s">
        <v>3674</v>
      </c>
      <c r="G1642" t="str">
        <f>"00532754"</f>
        <v>00532754</v>
      </c>
      <c r="H1642">
        <v>28.8</v>
      </c>
      <c r="I1642">
        <v>0</v>
      </c>
      <c r="J1642">
        <v>8</v>
      </c>
      <c r="L1642">
        <v>4</v>
      </c>
      <c r="M1642">
        <v>12</v>
      </c>
      <c r="N1642">
        <v>4</v>
      </c>
      <c r="O1642">
        <v>2</v>
      </c>
      <c r="P1642">
        <v>46.8</v>
      </c>
      <c r="Q1642">
        <v>17</v>
      </c>
      <c r="R1642">
        <v>17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17</v>
      </c>
      <c r="Z1642">
        <v>0</v>
      </c>
      <c r="AA1642">
        <v>0</v>
      </c>
      <c r="AC1642">
        <v>63.8</v>
      </c>
    </row>
    <row r="1643" spans="1:29">
      <c r="A1643">
        <v>1636</v>
      </c>
      <c r="B1643">
        <v>436</v>
      </c>
      <c r="C1643" t="s">
        <v>1566</v>
      </c>
      <c r="D1643" t="s">
        <v>418</v>
      </c>
      <c r="E1643" t="s">
        <v>32</v>
      </c>
      <c r="F1643" t="s">
        <v>3675</v>
      </c>
      <c r="G1643" t="str">
        <f>"00503674"</f>
        <v>00503674</v>
      </c>
      <c r="H1643">
        <v>28.8</v>
      </c>
      <c r="I1643">
        <v>0</v>
      </c>
      <c r="L1643">
        <v>4</v>
      </c>
      <c r="M1643">
        <v>4</v>
      </c>
      <c r="N1643">
        <v>4</v>
      </c>
      <c r="O1643">
        <v>0</v>
      </c>
      <c r="P1643">
        <v>36.799999999999997</v>
      </c>
      <c r="Q1643">
        <v>27</v>
      </c>
      <c r="R1643">
        <v>27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27</v>
      </c>
      <c r="Z1643">
        <v>0</v>
      </c>
      <c r="AA1643">
        <v>0</v>
      </c>
      <c r="AC1643">
        <v>63.8</v>
      </c>
    </row>
    <row r="1644" spans="1:29">
      <c r="A1644">
        <v>1637</v>
      </c>
      <c r="B1644">
        <v>678</v>
      </c>
      <c r="C1644" t="s">
        <v>3676</v>
      </c>
      <c r="D1644" t="s">
        <v>3677</v>
      </c>
      <c r="E1644" t="s">
        <v>60</v>
      </c>
      <c r="F1644" t="s">
        <v>3678</v>
      </c>
      <c r="G1644" t="str">
        <f>"201510004135"</f>
        <v>201510004135</v>
      </c>
      <c r="H1644">
        <v>24.72</v>
      </c>
      <c r="I1644">
        <v>10</v>
      </c>
      <c r="M1644">
        <v>0</v>
      </c>
      <c r="N1644">
        <v>4</v>
      </c>
      <c r="O1644">
        <v>2</v>
      </c>
      <c r="P1644">
        <v>40.72</v>
      </c>
      <c r="Q1644">
        <v>23</v>
      </c>
      <c r="R1644">
        <v>23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23</v>
      </c>
      <c r="Z1644">
        <v>0</v>
      </c>
      <c r="AA1644">
        <v>0</v>
      </c>
      <c r="AC1644">
        <v>63.72</v>
      </c>
    </row>
    <row r="1645" spans="1:29">
      <c r="A1645">
        <v>1638</v>
      </c>
      <c r="B1645">
        <v>555</v>
      </c>
      <c r="C1645" t="s">
        <v>3679</v>
      </c>
      <c r="D1645" t="s">
        <v>24</v>
      </c>
      <c r="E1645" t="s">
        <v>21</v>
      </c>
      <c r="F1645" t="s">
        <v>3680</v>
      </c>
      <c r="G1645" t="str">
        <f>"00781514"</f>
        <v>00781514</v>
      </c>
      <c r="H1645">
        <v>57.6</v>
      </c>
      <c r="I1645">
        <v>0</v>
      </c>
      <c r="M1645">
        <v>0</v>
      </c>
      <c r="N1645">
        <v>0</v>
      </c>
      <c r="O1645">
        <v>0</v>
      </c>
      <c r="P1645">
        <v>57.6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6</v>
      </c>
      <c r="AA1645">
        <v>0</v>
      </c>
      <c r="AC1645">
        <v>63.6</v>
      </c>
    </row>
    <row r="1646" spans="1:29">
      <c r="A1646">
        <v>1639</v>
      </c>
      <c r="B1646">
        <v>2926</v>
      </c>
      <c r="C1646" t="s">
        <v>3683</v>
      </c>
      <c r="D1646" t="s">
        <v>52</v>
      </c>
      <c r="E1646" t="s">
        <v>156</v>
      </c>
      <c r="F1646" t="s">
        <v>3684</v>
      </c>
      <c r="G1646" t="str">
        <f>"00625793"</f>
        <v>00625793</v>
      </c>
      <c r="H1646">
        <v>39.6</v>
      </c>
      <c r="I1646">
        <v>0</v>
      </c>
      <c r="J1646">
        <v>8</v>
      </c>
      <c r="L1646">
        <v>4</v>
      </c>
      <c r="M1646">
        <v>12</v>
      </c>
      <c r="N1646">
        <v>4</v>
      </c>
      <c r="O1646">
        <v>2</v>
      </c>
      <c r="P1646">
        <v>57.6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6</v>
      </c>
      <c r="AA1646">
        <v>0</v>
      </c>
      <c r="AC1646">
        <v>63.6</v>
      </c>
    </row>
    <row r="1647" spans="1:29">
      <c r="A1647">
        <v>1640</v>
      </c>
      <c r="B1647">
        <v>3943</v>
      </c>
      <c r="C1647" t="s">
        <v>3681</v>
      </c>
      <c r="D1647" t="s">
        <v>27</v>
      </c>
      <c r="E1647" t="s">
        <v>77</v>
      </c>
      <c r="F1647" t="s">
        <v>3682</v>
      </c>
      <c r="G1647" t="str">
        <f>"00228917"</f>
        <v>00228917</v>
      </c>
      <c r="H1647">
        <v>39.6</v>
      </c>
      <c r="I1647">
        <v>0</v>
      </c>
      <c r="J1647">
        <v>8</v>
      </c>
      <c r="L1647">
        <v>4</v>
      </c>
      <c r="M1647">
        <v>12</v>
      </c>
      <c r="N1647">
        <v>4</v>
      </c>
      <c r="O1647">
        <v>2</v>
      </c>
      <c r="P1647">
        <v>57.6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6</v>
      </c>
      <c r="AA1647">
        <v>0</v>
      </c>
      <c r="AC1647">
        <v>63.6</v>
      </c>
    </row>
    <row r="1648" spans="1:29">
      <c r="A1648">
        <v>1641</v>
      </c>
      <c r="B1648">
        <v>2494</v>
      </c>
      <c r="C1648" t="s">
        <v>3685</v>
      </c>
      <c r="D1648" t="s">
        <v>544</v>
      </c>
      <c r="E1648" t="s">
        <v>60</v>
      </c>
      <c r="F1648" t="s">
        <v>3686</v>
      </c>
      <c r="G1648" t="str">
        <f>"00860892"</f>
        <v>00860892</v>
      </c>
      <c r="H1648">
        <v>57.6</v>
      </c>
      <c r="I1648">
        <v>0</v>
      </c>
      <c r="L1648">
        <v>4</v>
      </c>
      <c r="M1648">
        <v>4</v>
      </c>
      <c r="N1648">
        <v>0</v>
      </c>
      <c r="O1648">
        <v>2</v>
      </c>
      <c r="P1648">
        <v>63.6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C1648">
        <v>63.6</v>
      </c>
    </row>
    <row r="1649" spans="1:29">
      <c r="A1649">
        <v>1642</v>
      </c>
      <c r="B1649">
        <v>3057</v>
      </c>
      <c r="C1649" t="s">
        <v>3687</v>
      </c>
      <c r="D1649" t="s">
        <v>179</v>
      </c>
      <c r="E1649" t="s">
        <v>60</v>
      </c>
      <c r="F1649" t="s">
        <v>3688</v>
      </c>
      <c r="G1649" t="str">
        <f>"00860420"</f>
        <v>00860420</v>
      </c>
      <c r="H1649">
        <v>57.6</v>
      </c>
      <c r="I1649">
        <v>0</v>
      </c>
      <c r="M1649">
        <v>0</v>
      </c>
      <c r="N1649">
        <v>4</v>
      </c>
      <c r="O1649">
        <v>2</v>
      </c>
      <c r="P1649">
        <v>63.6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C1649">
        <v>63.6</v>
      </c>
    </row>
    <row r="1650" spans="1:29">
      <c r="A1650">
        <v>1643</v>
      </c>
      <c r="B1650">
        <v>370</v>
      </c>
      <c r="C1650" t="s">
        <v>3689</v>
      </c>
      <c r="D1650" t="s">
        <v>873</v>
      </c>
      <c r="E1650" t="s">
        <v>15</v>
      </c>
      <c r="F1650" t="s">
        <v>3690</v>
      </c>
      <c r="G1650" t="str">
        <f>"00248843"</f>
        <v>00248843</v>
      </c>
      <c r="H1650">
        <v>39.6</v>
      </c>
      <c r="I1650">
        <v>10</v>
      </c>
      <c r="J1650">
        <v>8</v>
      </c>
      <c r="M1650">
        <v>8</v>
      </c>
      <c r="N1650">
        <v>4</v>
      </c>
      <c r="O1650">
        <v>2</v>
      </c>
      <c r="P1650">
        <v>63.6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C1650">
        <v>63.6</v>
      </c>
    </row>
    <row r="1651" spans="1:29">
      <c r="A1651">
        <v>1644</v>
      </c>
      <c r="B1651">
        <v>2980</v>
      </c>
      <c r="C1651" t="s">
        <v>3461</v>
      </c>
      <c r="D1651" t="s">
        <v>397</v>
      </c>
      <c r="E1651" t="s">
        <v>122</v>
      </c>
      <c r="F1651" t="s">
        <v>3691</v>
      </c>
      <c r="G1651" t="str">
        <f>"200801001093"</f>
        <v>200801001093</v>
      </c>
      <c r="H1651">
        <v>39.6</v>
      </c>
      <c r="I1651">
        <v>10</v>
      </c>
      <c r="J1651">
        <v>8</v>
      </c>
      <c r="M1651">
        <v>8</v>
      </c>
      <c r="N1651">
        <v>4</v>
      </c>
      <c r="O1651">
        <v>2</v>
      </c>
      <c r="P1651">
        <v>63.6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C1651">
        <v>63.6</v>
      </c>
    </row>
    <row r="1652" spans="1:29">
      <c r="A1652">
        <v>1645</v>
      </c>
      <c r="B1652">
        <v>54</v>
      </c>
      <c r="C1652" t="s">
        <v>2241</v>
      </c>
      <c r="D1652" t="s">
        <v>141</v>
      </c>
      <c r="E1652" t="s">
        <v>187</v>
      </c>
      <c r="F1652" t="s">
        <v>3692</v>
      </c>
      <c r="G1652" t="str">
        <f>"00441765"</f>
        <v>00441765</v>
      </c>
      <c r="H1652">
        <v>21.6</v>
      </c>
      <c r="I1652">
        <v>10</v>
      </c>
      <c r="L1652">
        <v>4</v>
      </c>
      <c r="M1652">
        <v>4</v>
      </c>
      <c r="N1652">
        <v>4</v>
      </c>
      <c r="O1652">
        <v>2</v>
      </c>
      <c r="P1652">
        <v>41.6</v>
      </c>
      <c r="Q1652">
        <v>22</v>
      </c>
      <c r="R1652">
        <v>22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22</v>
      </c>
      <c r="Z1652">
        <v>0</v>
      </c>
      <c r="AA1652">
        <v>0</v>
      </c>
      <c r="AC1652">
        <v>63.6</v>
      </c>
    </row>
    <row r="1653" spans="1:29">
      <c r="A1653">
        <v>1646</v>
      </c>
      <c r="B1653">
        <v>47</v>
      </c>
      <c r="C1653" t="s">
        <v>3693</v>
      </c>
      <c r="D1653" t="s">
        <v>3694</v>
      </c>
      <c r="E1653" t="s">
        <v>89</v>
      </c>
      <c r="F1653" t="s">
        <v>3695</v>
      </c>
      <c r="G1653" t="str">
        <f>"00518071"</f>
        <v>00518071</v>
      </c>
      <c r="H1653">
        <v>35.56</v>
      </c>
      <c r="I1653">
        <v>0</v>
      </c>
      <c r="L1653">
        <v>4</v>
      </c>
      <c r="M1653">
        <v>4</v>
      </c>
      <c r="N1653">
        <v>4</v>
      </c>
      <c r="O1653">
        <v>0</v>
      </c>
      <c r="P1653">
        <v>43.56</v>
      </c>
      <c r="Q1653">
        <v>17</v>
      </c>
      <c r="R1653">
        <v>17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17</v>
      </c>
      <c r="Z1653">
        <v>3</v>
      </c>
      <c r="AA1653">
        <v>0</v>
      </c>
      <c r="AC1653">
        <v>63.56</v>
      </c>
    </row>
    <row r="1654" spans="1:29">
      <c r="A1654">
        <v>1647</v>
      </c>
      <c r="B1654">
        <v>4709</v>
      </c>
      <c r="C1654" t="s">
        <v>3696</v>
      </c>
      <c r="D1654" t="s">
        <v>397</v>
      </c>
      <c r="E1654" t="s">
        <v>156</v>
      </c>
      <c r="F1654" t="s">
        <v>3697</v>
      </c>
      <c r="G1654" t="str">
        <f>"00652935"</f>
        <v>00652935</v>
      </c>
      <c r="H1654">
        <v>39.520000000000003</v>
      </c>
      <c r="I1654">
        <v>10</v>
      </c>
      <c r="J1654">
        <v>8</v>
      </c>
      <c r="M1654">
        <v>8</v>
      </c>
      <c r="N1654">
        <v>4</v>
      </c>
      <c r="O1654">
        <v>2</v>
      </c>
      <c r="P1654">
        <v>63.52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C1654">
        <v>63.52</v>
      </c>
    </row>
    <row r="1655" spans="1:29">
      <c r="A1655">
        <v>1648</v>
      </c>
      <c r="B1655">
        <v>3201</v>
      </c>
      <c r="C1655" t="s">
        <v>3698</v>
      </c>
      <c r="D1655" t="s">
        <v>159</v>
      </c>
      <c r="E1655" t="s">
        <v>3699</v>
      </c>
      <c r="F1655" t="s">
        <v>3700</v>
      </c>
      <c r="G1655" t="str">
        <f>"00860621"</f>
        <v>00860621</v>
      </c>
      <c r="H1655">
        <v>50.4</v>
      </c>
      <c r="I1655">
        <v>0</v>
      </c>
      <c r="L1655">
        <v>4</v>
      </c>
      <c r="M1655">
        <v>4</v>
      </c>
      <c r="N1655">
        <v>0</v>
      </c>
      <c r="O1655">
        <v>0</v>
      </c>
      <c r="P1655">
        <v>54.4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9</v>
      </c>
      <c r="AA1655">
        <v>0</v>
      </c>
      <c r="AC1655">
        <v>63.4</v>
      </c>
    </row>
    <row r="1656" spans="1:29">
      <c r="A1656">
        <v>1649</v>
      </c>
      <c r="B1656">
        <v>2831</v>
      </c>
      <c r="C1656" t="s">
        <v>3701</v>
      </c>
      <c r="D1656" t="s">
        <v>170</v>
      </c>
      <c r="E1656" t="s">
        <v>18</v>
      </c>
      <c r="F1656" t="s">
        <v>3702</v>
      </c>
      <c r="G1656" t="str">
        <f>"201511042096"</f>
        <v>201511042096</v>
      </c>
      <c r="H1656">
        <v>50.4</v>
      </c>
      <c r="I1656">
        <v>0</v>
      </c>
      <c r="L1656">
        <v>4</v>
      </c>
      <c r="M1656">
        <v>4</v>
      </c>
      <c r="N1656">
        <v>4</v>
      </c>
      <c r="O1656">
        <v>2</v>
      </c>
      <c r="P1656">
        <v>60.4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3</v>
      </c>
      <c r="AA1656">
        <v>0</v>
      </c>
      <c r="AC1656">
        <v>63.4</v>
      </c>
    </row>
    <row r="1657" spans="1:29">
      <c r="A1657">
        <v>1650</v>
      </c>
      <c r="B1657">
        <v>1223</v>
      </c>
      <c r="C1657" t="s">
        <v>1650</v>
      </c>
      <c r="D1657" t="s">
        <v>3705</v>
      </c>
      <c r="E1657" t="s">
        <v>18</v>
      </c>
      <c r="F1657" t="s">
        <v>3706</v>
      </c>
      <c r="G1657" t="str">
        <f>"00601730"</f>
        <v>00601730</v>
      </c>
      <c r="H1657">
        <v>50.4</v>
      </c>
      <c r="I1657">
        <v>0</v>
      </c>
      <c r="L1657">
        <v>4</v>
      </c>
      <c r="M1657">
        <v>4</v>
      </c>
      <c r="N1657">
        <v>4</v>
      </c>
      <c r="O1657">
        <v>2</v>
      </c>
      <c r="P1657">
        <v>60.4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3</v>
      </c>
      <c r="AA1657">
        <v>0</v>
      </c>
      <c r="AC1657">
        <v>63.4</v>
      </c>
    </row>
    <row r="1658" spans="1:29">
      <c r="A1658">
        <v>1651</v>
      </c>
      <c r="B1658">
        <v>1685</v>
      </c>
      <c r="C1658" t="s">
        <v>3703</v>
      </c>
      <c r="D1658" t="s">
        <v>433</v>
      </c>
      <c r="E1658" t="s">
        <v>36</v>
      </c>
      <c r="F1658" t="s">
        <v>3704</v>
      </c>
      <c r="G1658" t="str">
        <f>"00519627"</f>
        <v>00519627</v>
      </c>
      <c r="H1658">
        <v>50.4</v>
      </c>
      <c r="I1658">
        <v>0</v>
      </c>
      <c r="L1658">
        <v>4</v>
      </c>
      <c r="M1658">
        <v>4</v>
      </c>
      <c r="N1658">
        <v>4</v>
      </c>
      <c r="O1658">
        <v>2</v>
      </c>
      <c r="P1658">
        <v>60.4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3</v>
      </c>
      <c r="AA1658">
        <v>0</v>
      </c>
      <c r="AC1658">
        <v>63.4</v>
      </c>
    </row>
    <row r="1659" spans="1:29">
      <c r="A1659">
        <v>1652</v>
      </c>
      <c r="B1659">
        <v>4431</v>
      </c>
      <c r="C1659" t="s">
        <v>3707</v>
      </c>
      <c r="D1659" t="s">
        <v>39</v>
      </c>
      <c r="E1659" t="s">
        <v>15</v>
      </c>
      <c r="F1659" t="s">
        <v>3708</v>
      </c>
      <c r="G1659" t="str">
        <f>"00528569"</f>
        <v>00528569</v>
      </c>
      <c r="H1659">
        <v>14.4</v>
      </c>
      <c r="I1659">
        <v>0</v>
      </c>
      <c r="J1659">
        <v>8</v>
      </c>
      <c r="M1659">
        <v>8</v>
      </c>
      <c r="N1659">
        <v>4</v>
      </c>
      <c r="O1659">
        <v>2</v>
      </c>
      <c r="P1659">
        <v>28.4</v>
      </c>
      <c r="Q1659">
        <v>32</v>
      </c>
      <c r="R1659">
        <v>32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32</v>
      </c>
      <c r="Z1659">
        <v>3</v>
      </c>
      <c r="AA1659">
        <v>0</v>
      </c>
      <c r="AC1659">
        <v>63.4</v>
      </c>
    </row>
    <row r="1660" spans="1:29">
      <c r="A1660">
        <v>1653</v>
      </c>
      <c r="B1660">
        <v>2804</v>
      </c>
      <c r="C1660" t="s">
        <v>3710</v>
      </c>
      <c r="D1660" t="s">
        <v>185</v>
      </c>
      <c r="E1660" t="s">
        <v>1263</v>
      </c>
      <c r="F1660" t="s">
        <v>3711</v>
      </c>
      <c r="G1660" t="str">
        <f>"00636222"</f>
        <v>00636222</v>
      </c>
      <c r="H1660">
        <v>43.2</v>
      </c>
      <c r="I1660">
        <v>0</v>
      </c>
      <c r="L1660">
        <v>8</v>
      </c>
      <c r="M1660">
        <v>8</v>
      </c>
      <c r="N1660">
        <v>4</v>
      </c>
      <c r="O1660">
        <v>2</v>
      </c>
      <c r="P1660">
        <v>57.2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6</v>
      </c>
      <c r="AA1660">
        <v>0</v>
      </c>
      <c r="AC1660">
        <v>63.2</v>
      </c>
    </row>
    <row r="1661" spans="1:29">
      <c r="A1661">
        <v>1654</v>
      </c>
      <c r="B1661">
        <v>2384</v>
      </c>
      <c r="C1661" t="s">
        <v>1303</v>
      </c>
      <c r="D1661" t="s">
        <v>433</v>
      </c>
      <c r="E1661" t="s">
        <v>18</v>
      </c>
      <c r="F1661" t="s">
        <v>3709</v>
      </c>
      <c r="G1661" t="str">
        <f>"00857927"</f>
        <v>00857927</v>
      </c>
      <c r="H1661">
        <v>43.2</v>
      </c>
      <c r="I1661">
        <v>10</v>
      </c>
      <c r="M1661">
        <v>0</v>
      </c>
      <c r="N1661">
        <v>4</v>
      </c>
      <c r="O1661">
        <v>0</v>
      </c>
      <c r="P1661">
        <v>57.2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6</v>
      </c>
      <c r="AA1661">
        <v>0</v>
      </c>
      <c r="AC1661">
        <v>63.2</v>
      </c>
    </row>
    <row r="1662" spans="1:29">
      <c r="A1662">
        <v>1655</v>
      </c>
      <c r="B1662">
        <v>173</v>
      </c>
      <c r="C1662" t="s">
        <v>2667</v>
      </c>
      <c r="D1662" t="s">
        <v>95</v>
      </c>
      <c r="E1662" t="s">
        <v>564</v>
      </c>
      <c r="F1662" t="s">
        <v>3712</v>
      </c>
      <c r="G1662" t="str">
        <f>"00569810"</f>
        <v>00569810</v>
      </c>
      <c r="H1662">
        <v>43.2</v>
      </c>
      <c r="I1662">
        <v>10</v>
      </c>
      <c r="L1662">
        <v>4</v>
      </c>
      <c r="M1662">
        <v>4</v>
      </c>
      <c r="N1662">
        <v>4</v>
      </c>
      <c r="O1662">
        <v>2</v>
      </c>
      <c r="P1662">
        <v>63.2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C1662">
        <v>63.2</v>
      </c>
    </row>
    <row r="1663" spans="1:29">
      <c r="A1663">
        <v>1656</v>
      </c>
      <c r="B1663">
        <v>977</v>
      </c>
      <c r="C1663" t="s">
        <v>1093</v>
      </c>
      <c r="D1663" t="s">
        <v>31</v>
      </c>
      <c r="E1663" t="s">
        <v>227</v>
      </c>
      <c r="F1663" t="s">
        <v>3713</v>
      </c>
      <c r="G1663" t="str">
        <f>"00009744"</f>
        <v>00009744</v>
      </c>
      <c r="H1663">
        <v>39.200000000000003</v>
      </c>
      <c r="I1663">
        <v>10</v>
      </c>
      <c r="J1663">
        <v>8</v>
      </c>
      <c r="M1663">
        <v>8</v>
      </c>
      <c r="N1663">
        <v>4</v>
      </c>
      <c r="O1663">
        <v>2</v>
      </c>
      <c r="P1663">
        <v>63.2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0</v>
      </c>
      <c r="AC1663">
        <v>63.2</v>
      </c>
    </row>
    <row r="1664" spans="1:29">
      <c r="A1664">
        <v>1657</v>
      </c>
      <c r="B1664">
        <v>2957</v>
      </c>
      <c r="C1664" t="s">
        <v>3714</v>
      </c>
      <c r="D1664" t="s">
        <v>52</v>
      </c>
      <c r="E1664" t="s">
        <v>79</v>
      </c>
      <c r="F1664" t="s">
        <v>3715</v>
      </c>
      <c r="G1664" t="str">
        <f>"00506818"</f>
        <v>00506818</v>
      </c>
      <c r="H1664">
        <v>43.2</v>
      </c>
      <c r="I1664">
        <v>0</v>
      </c>
      <c r="J1664">
        <v>8</v>
      </c>
      <c r="M1664">
        <v>8</v>
      </c>
      <c r="N1664">
        <v>4</v>
      </c>
      <c r="O1664">
        <v>2</v>
      </c>
      <c r="P1664">
        <v>57.2</v>
      </c>
      <c r="Q1664">
        <v>6</v>
      </c>
      <c r="R1664">
        <v>6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6</v>
      </c>
      <c r="Z1664">
        <v>0</v>
      </c>
      <c r="AA1664">
        <v>0</v>
      </c>
      <c r="AC1664">
        <v>63.2</v>
      </c>
    </row>
    <row r="1665" spans="1:29">
      <c r="A1665">
        <v>1658</v>
      </c>
      <c r="B1665">
        <v>1958</v>
      </c>
      <c r="C1665" t="s">
        <v>3716</v>
      </c>
      <c r="D1665" t="s">
        <v>35</v>
      </c>
      <c r="E1665" t="s">
        <v>36</v>
      </c>
      <c r="F1665" t="s">
        <v>3717</v>
      </c>
      <c r="G1665" t="str">
        <f>"00265454"</f>
        <v>00265454</v>
      </c>
      <c r="H1665">
        <v>43.2</v>
      </c>
      <c r="I1665">
        <v>0</v>
      </c>
      <c r="J1665">
        <v>8</v>
      </c>
      <c r="M1665">
        <v>8</v>
      </c>
      <c r="N1665">
        <v>4</v>
      </c>
      <c r="O1665">
        <v>0</v>
      </c>
      <c r="P1665">
        <v>55.2</v>
      </c>
      <c r="Q1665">
        <v>8</v>
      </c>
      <c r="R1665">
        <v>8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8</v>
      </c>
      <c r="Z1665">
        <v>0</v>
      </c>
      <c r="AA1665">
        <v>0</v>
      </c>
      <c r="AC1665">
        <v>63.2</v>
      </c>
    </row>
    <row r="1666" spans="1:29">
      <c r="A1666">
        <v>1659</v>
      </c>
      <c r="B1666">
        <v>1240</v>
      </c>
      <c r="C1666" t="s">
        <v>3718</v>
      </c>
      <c r="D1666" t="s">
        <v>108</v>
      </c>
      <c r="E1666" t="s">
        <v>3719</v>
      </c>
      <c r="F1666" t="s">
        <v>3720</v>
      </c>
      <c r="G1666" t="str">
        <f>"00226265"</f>
        <v>00226265</v>
      </c>
      <c r="H1666">
        <v>35.200000000000003</v>
      </c>
      <c r="I1666">
        <v>0</v>
      </c>
      <c r="L1666">
        <v>4</v>
      </c>
      <c r="M1666">
        <v>4</v>
      </c>
      <c r="N1666">
        <v>4</v>
      </c>
      <c r="O1666">
        <v>2</v>
      </c>
      <c r="P1666">
        <v>45.2</v>
      </c>
      <c r="Q1666">
        <v>18</v>
      </c>
      <c r="R1666">
        <v>18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18</v>
      </c>
      <c r="Z1666">
        <v>0</v>
      </c>
      <c r="AA1666">
        <v>0</v>
      </c>
      <c r="AC1666">
        <v>63.2</v>
      </c>
    </row>
    <row r="1667" spans="1:29">
      <c r="A1667">
        <v>1660</v>
      </c>
      <c r="B1667">
        <v>1634</v>
      </c>
      <c r="C1667" t="s">
        <v>1436</v>
      </c>
      <c r="D1667" t="s">
        <v>2473</v>
      </c>
      <c r="E1667" t="s">
        <v>66</v>
      </c>
      <c r="F1667" t="s">
        <v>3721</v>
      </c>
      <c r="G1667" t="str">
        <f>"00530982"</f>
        <v>00530982</v>
      </c>
      <c r="H1667">
        <v>37.200000000000003</v>
      </c>
      <c r="I1667">
        <v>0</v>
      </c>
      <c r="M1667">
        <v>0</v>
      </c>
      <c r="N1667">
        <v>0</v>
      </c>
      <c r="O1667">
        <v>0</v>
      </c>
      <c r="P1667">
        <v>37.200000000000003</v>
      </c>
      <c r="Q1667">
        <v>26</v>
      </c>
      <c r="R1667">
        <v>26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26</v>
      </c>
      <c r="Z1667">
        <v>0</v>
      </c>
      <c r="AA1667">
        <v>0</v>
      </c>
      <c r="AC1667">
        <v>63.2</v>
      </c>
    </row>
    <row r="1668" spans="1:29">
      <c r="A1668">
        <v>1661</v>
      </c>
      <c r="B1668">
        <v>2864</v>
      </c>
      <c r="C1668" t="s">
        <v>3722</v>
      </c>
      <c r="D1668" t="s">
        <v>24</v>
      </c>
      <c r="E1668" t="s">
        <v>66</v>
      </c>
      <c r="F1668" t="s">
        <v>3723</v>
      </c>
      <c r="G1668" t="str">
        <f>"201511028349"</f>
        <v>201511028349</v>
      </c>
      <c r="H1668">
        <v>40</v>
      </c>
      <c r="I1668">
        <v>10</v>
      </c>
      <c r="L1668">
        <v>4</v>
      </c>
      <c r="M1668">
        <v>4</v>
      </c>
      <c r="N1668">
        <v>4</v>
      </c>
      <c r="O1668">
        <v>2</v>
      </c>
      <c r="P1668">
        <v>60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3</v>
      </c>
      <c r="AA1668">
        <v>0</v>
      </c>
      <c r="AC1668">
        <v>63</v>
      </c>
    </row>
    <row r="1669" spans="1:29">
      <c r="A1669">
        <v>1662</v>
      </c>
      <c r="B1669">
        <v>4284</v>
      </c>
      <c r="C1669" t="s">
        <v>3724</v>
      </c>
      <c r="D1669" t="s">
        <v>261</v>
      </c>
      <c r="E1669" t="s">
        <v>3725</v>
      </c>
      <c r="F1669" t="s">
        <v>3726</v>
      </c>
      <c r="G1669" t="str">
        <f>"201011000155"</f>
        <v>201011000155</v>
      </c>
      <c r="H1669">
        <v>40</v>
      </c>
      <c r="I1669">
        <v>10</v>
      </c>
      <c r="L1669">
        <v>4</v>
      </c>
      <c r="M1669">
        <v>4</v>
      </c>
      <c r="N1669">
        <v>4</v>
      </c>
      <c r="O1669">
        <v>2</v>
      </c>
      <c r="P1669">
        <v>60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3</v>
      </c>
      <c r="AA1669">
        <v>0</v>
      </c>
      <c r="AC1669">
        <v>63</v>
      </c>
    </row>
    <row r="1670" spans="1:29">
      <c r="A1670">
        <v>1663</v>
      </c>
      <c r="B1670">
        <v>3622</v>
      </c>
      <c r="C1670" t="s">
        <v>3727</v>
      </c>
      <c r="D1670" t="s">
        <v>2000</v>
      </c>
      <c r="E1670" t="s">
        <v>227</v>
      </c>
      <c r="F1670" t="s">
        <v>3728</v>
      </c>
      <c r="G1670" t="str">
        <f>"201411002536"</f>
        <v>201411002536</v>
      </c>
      <c r="H1670">
        <v>36</v>
      </c>
      <c r="I1670">
        <v>10</v>
      </c>
      <c r="J1670">
        <v>8</v>
      </c>
      <c r="M1670">
        <v>8</v>
      </c>
      <c r="N1670">
        <v>4</v>
      </c>
      <c r="O1670">
        <v>2</v>
      </c>
      <c r="P1670">
        <v>60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3</v>
      </c>
      <c r="AA1670">
        <v>0</v>
      </c>
      <c r="AC1670">
        <v>63</v>
      </c>
    </row>
    <row r="1671" spans="1:29">
      <c r="A1671">
        <v>1664</v>
      </c>
      <c r="B1671">
        <v>1125</v>
      </c>
      <c r="C1671" t="s">
        <v>1444</v>
      </c>
      <c r="D1671" t="s">
        <v>27</v>
      </c>
      <c r="E1671" t="s">
        <v>340</v>
      </c>
      <c r="F1671" t="s">
        <v>3731</v>
      </c>
      <c r="G1671" t="str">
        <f>"00308337"</f>
        <v>00308337</v>
      </c>
      <c r="H1671">
        <v>36</v>
      </c>
      <c r="I1671">
        <v>0</v>
      </c>
      <c r="L1671">
        <v>4</v>
      </c>
      <c r="M1671">
        <v>4</v>
      </c>
      <c r="N1671">
        <v>4</v>
      </c>
      <c r="O1671">
        <v>0</v>
      </c>
      <c r="P1671">
        <v>44</v>
      </c>
      <c r="Q1671">
        <v>16</v>
      </c>
      <c r="R1671">
        <v>16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16</v>
      </c>
      <c r="Z1671">
        <v>3</v>
      </c>
      <c r="AA1671">
        <v>0</v>
      </c>
      <c r="AC1671">
        <v>63</v>
      </c>
    </row>
    <row r="1672" spans="1:29">
      <c r="A1672">
        <v>1665</v>
      </c>
      <c r="B1672">
        <v>661</v>
      </c>
      <c r="C1672" t="s">
        <v>3729</v>
      </c>
      <c r="D1672" t="s">
        <v>164</v>
      </c>
      <c r="E1672" t="s">
        <v>36</v>
      </c>
      <c r="F1672" t="s">
        <v>3730</v>
      </c>
      <c r="G1672" t="str">
        <f>"201511031908"</f>
        <v>201511031908</v>
      </c>
      <c r="H1672">
        <v>36</v>
      </c>
      <c r="I1672">
        <v>0</v>
      </c>
      <c r="L1672">
        <v>4</v>
      </c>
      <c r="M1672">
        <v>4</v>
      </c>
      <c r="N1672">
        <v>4</v>
      </c>
      <c r="O1672">
        <v>0</v>
      </c>
      <c r="P1672">
        <v>44</v>
      </c>
      <c r="Q1672">
        <v>6</v>
      </c>
      <c r="R1672">
        <v>6</v>
      </c>
      <c r="S1672">
        <v>0</v>
      </c>
      <c r="T1672">
        <v>0</v>
      </c>
      <c r="U1672">
        <v>7</v>
      </c>
      <c r="V1672">
        <v>10</v>
      </c>
      <c r="W1672">
        <v>0</v>
      </c>
      <c r="X1672">
        <v>0</v>
      </c>
      <c r="Y1672">
        <v>16</v>
      </c>
      <c r="Z1672">
        <v>3</v>
      </c>
      <c r="AA1672">
        <v>0</v>
      </c>
      <c r="AC1672">
        <v>63</v>
      </c>
    </row>
    <row r="1673" spans="1:29">
      <c r="A1673">
        <v>1666</v>
      </c>
      <c r="B1673">
        <v>2686</v>
      </c>
      <c r="C1673" t="s">
        <v>3732</v>
      </c>
      <c r="D1673" t="s">
        <v>3733</v>
      </c>
      <c r="E1673" t="s">
        <v>36</v>
      </c>
      <c r="F1673" t="s">
        <v>3734</v>
      </c>
      <c r="G1673" t="str">
        <f>"201412000140"</f>
        <v>201412000140</v>
      </c>
      <c r="H1673">
        <v>32</v>
      </c>
      <c r="I1673">
        <v>0</v>
      </c>
      <c r="M1673">
        <v>0</v>
      </c>
      <c r="N1673">
        <v>4</v>
      </c>
      <c r="O1673">
        <v>0</v>
      </c>
      <c r="P1673">
        <v>36</v>
      </c>
      <c r="Q1673">
        <v>24</v>
      </c>
      <c r="R1673">
        <v>24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24</v>
      </c>
      <c r="Z1673">
        <v>3</v>
      </c>
      <c r="AA1673">
        <v>0</v>
      </c>
      <c r="AC1673">
        <v>63</v>
      </c>
    </row>
    <row r="1674" spans="1:29">
      <c r="A1674">
        <v>1667</v>
      </c>
      <c r="B1674">
        <v>2910</v>
      </c>
      <c r="C1674" t="s">
        <v>3735</v>
      </c>
      <c r="D1674" t="s">
        <v>20</v>
      </c>
      <c r="E1674" t="s">
        <v>3736</v>
      </c>
      <c r="F1674" t="s">
        <v>3737</v>
      </c>
      <c r="G1674" t="str">
        <f>"00533096"</f>
        <v>00533096</v>
      </c>
      <c r="H1674">
        <v>0</v>
      </c>
      <c r="I1674">
        <v>0</v>
      </c>
      <c r="M1674">
        <v>0</v>
      </c>
      <c r="N1674">
        <v>0</v>
      </c>
      <c r="O1674">
        <v>2</v>
      </c>
      <c r="P1674">
        <v>2</v>
      </c>
      <c r="Q1674">
        <v>58</v>
      </c>
      <c r="R1674">
        <v>58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58</v>
      </c>
      <c r="Z1674">
        <v>3</v>
      </c>
      <c r="AA1674">
        <v>0</v>
      </c>
      <c r="AC1674">
        <v>63</v>
      </c>
    </row>
    <row r="1675" spans="1:29">
      <c r="A1675">
        <v>1668</v>
      </c>
      <c r="B1675">
        <v>484</v>
      </c>
      <c r="C1675" t="s">
        <v>3738</v>
      </c>
      <c r="D1675" t="s">
        <v>1166</v>
      </c>
      <c r="E1675" t="s">
        <v>32</v>
      </c>
      <c r="F1675" t="s">
        <v>3739</v>
      </c>
      <c r="G1675" t="str">
        <f>"00364163"</f>
        <v>00364163</v>
      </c>
      <c r="H1675">
        <v>20</v>
      </c>
      <c r="I1675">
        <v>0</v>
      </c>
      <c r="M1675">
        <v>0</v>
      </c>
      <c r="N1675">
        <v>4</v>
      </c>
      <c r="O1675">
        <v>0</v>
      </c>
      <c r="P1675">
        <v>24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12</v>
      </c>
      <c r="AA1675">
        <v>26.8</v>
      </c>
      <c r="AC1675">
        <v>62.8</v>
      </c>
    </row>
    <row r="1676" spans="1:29">
      <c r="A1676">
        <v>1669</v>
      </c>
      <c r="B1676">
        <v>1348</v>
      </c>
      <c r="C1676" t="s">
        <v>3740</v>
      </c>
      <c r="D1676" t="s">
        <v>251</v>
      </c>
      <c r="E1676" t="s">
        <v>436</v>
      </c>
      <c r="F1676" t="s">
        <v>3741</v>
      </c>
      <c r="G1676" t="str">
        <f>"00481581"</f>
        <v>00481581</v>
      </c>
      <c r="H1676">
        <v>28.8</v>
      </c>
      <c r="I1676">
        <v>0</v>
      </c>
      <c r="L1676">
        <v>4</v>
      </c>
      <c r="M1676">
        <v>4</v>
      </c>
      <c r="N1676">
        <v>4</v>
      </c>
      <c r="O1676">
        <v>2</v>
      </c>
      <c r="P1676">
        <v>38.799999999999997</v>
      </c>
      <c r="Q1676">
        <v>24</v>
      </c>
      <c r="R1676">
        <v>24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24</v>
      </c>
      <c r="Z1676">
        <v>0</v>
      </c>
      <c r="AA1676">
        <v>0</v>
      </c>
      <c r="AC1676">
        <v>62.8</v>
      </c>
    </row>
    <row r="1677" spans="1:29">
      <c r="A1677">
        <v>1670</v>
      </c>
      <c r="B1677">
        <v>2306</v>
      </c>
      <c r="C1677" t="s">
        <v>3742</v>
      </c>
      <c r="D1677" t="s">
        <v>159</v>
      </c>
      <c r="E1677" t="s">
        <v>889</v>
      </c>
      <c r="F1677" t="s">
        <v>3743</v>
      </c>
      <c r="G1677" t="str">
        <f>"00326448"</f>
        <v>00326448</v>
      </c>
      <c r="H1677">
        <v>38.68</v>
      </c>
      <c r="I1677">
        <v>0</v>
      </c>
      <c r="M1677">
        <v>0</v>
      </c>
      <c r="N1677">
        <v>4</v>
      </c>
      <c r="O1677">
        <v>0</v>
      </c>
      <c r="P1677">
        <v>42.68</v>
      </c>
      <c r="Q1677">
        <v>17</v>
      </c>
      <c r="R1677">
        <v>17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17</v>
      </c>
      <c r="Z1677">
        <v>3</v>
      </c>
      <c r="AA1677">
        <v>0</v>
      </c>
      <c r="AC1677">
        <v>62.68</v>
      </c>
    </row>
    <row r="1678" spans="1:29">
      <c r="A1678">
        <v>1671</v>
      </c>
      <c r="B1678">
        <v>4082</v>
      </c>
      <c r="C1678" t="s">
        <v>3744</v>
      </c>
      <c r="D1678" t="s">
        <v>329</v>
      </c>
      <c r="E1678" t="s">
        <v>224</v>
      </c>
      <c r="F1678" t="s">
        <v>3745</v>
      </c>
      <c r="G1678" t="str">
        <f>"00397006"</f>
        <v>00397006</v>
      </c>
      <c r="H1678">
        <v>37.6</v>
      </c>
      <c r="I1678">
        <v>10</v>
      </c>
      <c r="M1678">
        <v>0</v>
      </c>
      <c r="N1678">
        <v>0</v>
      </c>
      <c r="O1678">
        <v>0</v>
      </c>
      <c r="P1678">
        <v>47.6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15</v>
      </c>
      <c r="AA1678">
        <v>0</v>
      </c>
      <c r="AC1678">
        <v>62.6</v>
      </c>
    </row>
    <row r="1679" spans="1:29">
      <c r="A1679">
        <v>1672</v>
      </c>
      <c r="B1679">
        <v>3436</v>
      </c>
      <c r="C1679" t="s">
        <v>2096</v>
      </c>
      <c r="D1679" t="s">
        <v>159</v>
      </c>
      <c r="E1679" t="s">
        <v>1527</v>
      </c>
      <c r="F1679" t="s">
        <v>3746</v>
      </c>
      <c r="G1679" t="str">
        <f>"00689087"</f>
        <v>00689087</v>
      </c>
      <c r="H1679">
        <v>39.6</v>
      </c>
      <c r="I1679">
        <v>10</v>
      </c>
      <c r="M1679">
        <v>0</v>
      </c>
      <c r="N1679">
        <v>4</v>
      </c>
      <c r="O1679">
        <v>0</v>
      </c>
      <c r="P1679">
        <v>53.6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9</v>
      </c>
      <c r="AA1679">
        <v>0</v>
      </c>
      <c r="AC1679">
        <v>62.6</v>
      </c>
    </row>
    <row r="1680" spans="1:29">
      <c r="A1680">
        <v>1673</v>
      </c>
      <c r="B1680">
        <v>456</v>
      </c>
      <c r="C1680" t="s">
        <v>3747</v>
      </c>
      <c r="D1680" t="s">
        <v>27</v>
      </c>
      <c r="E1680" t="s">
        <v>53</v>
      </c>
      <c r="F1680" t="s">
        <v>3748</v>
      </c>
      <c r="G1680" t="str">
        <f>"00486689"</f>
        <v>00486689</v>
      </c>
      <c r="H1680">
        <v>21.6</v>
      </c>
      <c r="I1680">
        <v>10</v>
      </c>
      <c r="J1680">
        <v>8</v>
      </c>
      <c r="M1680">
        <v>8</v>
      </c>
      <c r="N1680">
        <v>4</v>
      </c>
      <c r="O1680">
        <v>2</v>
      </c>
      <c r="P1680">
        <v>45.6</v>
      </c>
      <c r="Q1680">
        <v>11</v>
      </c>
      <c r="R1680">
        <v>11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11</v>
      </c>
      <c r="Z1680">
        <v>6</v>
      </c>
      <c r="AA1680">
        <v>0</v>
      </c>
      <c r="AC1680">
        <v>62.6</v>
      </c>
    </row>
    <row r="1681" spans="1:29">
      <c r="A1681">
        <v>1674</v>
      </c>
      <c r="B1681">
        <v>784</v>
      </c>
      <c r="C1681" t="s">
        <v>3749</v>
      </c>
      <c r="D1681" t="s">
        <v>3750</v>
      </c>
      <c r="E1681" t="s">
        <v>134</v>
      </c>
      <c r="F1681" t="s">
        <v>3751</v>
      </c>
      <c r="G1681" t="str">
        <f>"00856754"</f>
        <v>00856754</v>
      </c>
      <c r="H1681">
        <v>57.6</v>
      </c>
      <c r="I1681">
        <v>0</v>
      </c>
      <c r="M1681">
        <v>0</v>
      </c>
      <c r="N1681">
        <v>0</v>
      </c>
      <c r="O1681">
        <v>2</v>
      </c>
      <c r="P1681">
        <v>59.6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3</v>
      </c>
      <c r="AA1681">
        <v>0</v>
      </c>
      <c r="AC1681">
        <v>62.6</v>
      </c>
    </row>
    <row r="1682" spans="1:29">
      <c r="A1682">
        <v>1675</v>
      </c>
      <c r="B1682">
        <v>1741</v>
      </c>
      <c r="C1682" t="s">
        <v>3752</v>
      </c>
      <c r="D1682" t="s">
        <v>175</v>
      </c>
      <c r="E1682" t="s">
        <v>3753</v>
      </c>
      <c r="F1682" t="s">
        <v>3754</v>
      </c>
      <c r="G1682" t="str">
        <f>"00531365"</f>
        <v>00531365</v>
      </c>
      <c r="H1682">
        <v>21.44</v>
      </c>
      <c r="I1682">
        <v>0</v>
      </c>
      <c r="M1682">
        <v>0</v>
      </c>
      <c r="N1682">
        <v>4</v>
      </c>
      <c r="O1682">
        <v>0</v>
      </c>
      <c r="P1682">
        <v>25.44</v>
      </c>
      <c r="Q1682">
        <v>27</v>
      </c>
      <c r="R1682">
        <v>27</v>
      </c>
      <c r="S1682">
        <v>5</v>
      </c>
      <c r="T1682">
        <v>10</v>
      </c>
      <c r="U1682">
        <v>0</v>
      </c>
      <c r="V1682">
        <v>0</v>
      </c>
      <c r="W1682">
        <v>0</v>
      </c>
      <c r="X1682">
        <v>0</v>
      </c>
      <c r="Y1682">
        <v>37</v>
      </c>
      <c r="Z1682">
        <v>0</v>
      </c>
      <c r="AA1682">
        <v>0</v>
      </c>
      <c r="AC1682">
        <v>62.44</v>
      </c>
    </row>
    <row r="1683" spans="1:29">
      <c r="A1683">
        <v>1676</v>
      </c>
      <c r="B1683">
        <v>1556</v>
      </c>
      <c r="C1683" t="s">
        <v>3755</v>
      </c>
      <c r="D1683" t="s">
        <v>20</v>
      </c>
      <c r="E1683" t="s">
        <v>79</v>
      </c>
      <c r="F1683" t="s">
        <v>3756</v>
      </c>
      <c r="G1683" t="str">
        <f>"200801003441"</f>
        <v>200801003441</v>
      </c>
      <c r="H1683">
        <v>21.6</v>
      </c>
      <c r="I1683">
        <v>0</v>
      </c>
      <c r="L1683">
        <v>4</v>
      </c>
      <c r="M1683">
        <v>4</v>
      </c>
      <c r="N1683">
        <v>4</v>
      </c>
      <c r="O1683">
        <v>0</v>
      </c>
      <c r="P1683">
        <v>29.6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6</v>
      </c>
      <c r="AA1683">
        <v>26.8</v>
      </c>
      <c r="AC1683">
        <v>62.4</v>
      </c>
    </row>
    <row r="1684" spans="1:29">
      <c r="A1684">
        <v>1677</v>
      </c>
      <c r="B1684">
        <v>4699</v>
      </c>
      <c r="C1684" t="s">
        <v>3757</v>
      </c>
      <c r="D1684" t="s">
        <v>27</v>
      </c>
      <c r="E1684" t="s">
        <v>115</v>
      </c>
      <c r="F1684" t="s">
        <v>3758</v>
      </c>
      <c r="G1684" t="str">
        <f>"00160998"</f>
        <v>00160998</v>
      </c>
      <c r="H1684">
        <v>28.4</v>
      </c>
      <c r="I1684">
        <v>0</v>
      </c>
      <c r="J1684">
        <v>8</v>
      </c>
      <c r="M1684">
        <v>8</v>
      </c>
      <c r="N1684">
        <v>4</v>
      </c>
      <c r="O1684">
        <v>2</v>
      </c>
      <c r="P1684">
        <v>42.4</v>
      </c>
      <c r="Q1684">
        <v>11</v>
      </c>
      <c r="R1684">
        <v>11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11</v>
      </c>
      <c r="Z1684">
        <v>9</v>
      </c>
      <c r="AA1684">
        <v>0</v>
      </c>
      <c r="AC1684">
        <v>62.4</v>
      </c>
    </row>
    <row r="1685" spans="1:29">
      <c r="A1685">
        <v>1678</v>
      </c>
      <c r="B1685">
        <v>1074</v>
      </c>
      <c r="C1685" t="s">
        <v>3759</v>
      </c>
      <c r="D1685" t="s">
        <v>86</v>
      </c>
      <c r="E1685" t="s">
        <v>165</v>
      </c>
      <c r="F1685" t="s">
        <v>3760</v>
      </c>
      <c r="G1685" t="str">
        <f>"00858645"</f>
        <v>00858645</v>
      </c>
      <c r="H1685">
        <v>50.4</v>
      </c>
      <c r="I1685">
        <v>0</v>
      </c>
      <c r="M1685">
        <v>0</v>
      </c>
      <c r="N1685">
        <v>4</v>
      </c>
      <c r="O1685">
        <v>2</v>
      </c>
      <c r="P1685">
        <v>56.4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6</v>
      </c>
      <c r="AA1685">
        <v>0</v>
      </c>
      <c r="AC1685">
        <v>62.4</v>
      </c>
    </row>
    <row r="1686" spans="1:29">
      <c r="A1686">
        <v>1679</v>
      </c>
      <c r="B1686">
        <v>1039</v>
      </c>
      <c r="C1686" t="s">
        <v>3761</v>
      </c>
      <c r="D1686" t="s">
        <v>276</v>
      </c>
      <c r="E1686" t="s">
        <v>50</v>
      </c>
      <c r="F1686" t="s">
        <v>3762</v>
      </c>
      <c r="G1686" t="str">
        <f>"00858448"</f>
        <v>00858448</v>
      </c>
      <c r="H1686">
        <v>50.4</v>
      </c>
      <c r="I1686">
        <v>0</v>
      </c>
      <c r="L1686">
        <v>4</v>
      </c>
      <c r="M1686">
        <v>4</v>
      </c>
      <c r="N1686">
        <v>0</v>
      </c>
      <c r="O1686">
        <v>2</v>
      </c>
      <c r="P1686">
        <v>56.4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6</v>
      </c>
      <c r="AA1686">
        <v>0</v>
      </c>
      <c r="AC1686">
        <v>62.4</v>
      </c>
    </row>
    <row r="1687" spans="1:29">
      <c r="A1687">
        <v>1680</v>
      </c>
      <c r="B1687">
        <v>4238</v>
      </c>
      <c r="C1687" t="s">
        <v>3763</v>
      </c>
      <c r="D1687" t="s">
        <v>332</v>
      </c>
      <c r="E1687" t="s">
        <v>3764</v>
      </c>
      <c r="F1687" t="s">
        <v>3765</v>
      </c>
      <c r="G1687" t="str">
        <f>"00513268"</f>
        <v>00513268</v>
      </c>
      <c r="H1687">
        <v>14.4</v>
      </c>
      <c r="I1687">
        <v>10</v>
      </c>
      <c r="M1687">
        <v>0</v>
      </c>
      <c r="N1687">
        <v>4</v>
      </c>
      <c r="O1687">
        <v>0</v>
      </c>
      <c r="P1687">
        <v>28.4</v>
      </c>
      <c r="Q1687">
        <v>28</v>
      </c>
      <c r="R1687">
        <v>28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28</v>
      </c>
      <c r="Z1687">
        <v>6</v>
      </c>
      <c r="AA1687">
        <v>0</v>
      </c>
      <c r="AC1687">
        <v>62.4</v>
      </c>
    </row>
    <row r="1688" spans="1:29">
      <c r="A1688">
        <v>1681</v>
      </c>
      <c r="B1688">
        <v>3405</v>
      </c>
      <c r="C1688" t="s">
        <v>3766</v>
      </c>
      <c r="D1688" t="s">
        <v>24</v>
      </c>
      <c r="E1688" t="s">
        <v>18</v>
      </c>
      <c r="F1688" t="s">
        <v>3767</v>
      </c>
      <c r="G1688" t="str">
        <f>"00531268"</f>
        <v>00531268</v>
      </c>
      <c r="H1688">
        <v>50.4</v>
      </c>
      <c r="I1688">
        <v>0</v>
      </c>
      <c r="L1688">
        <v>4</v>
      </c>
      <c r="M1688">
        <v>4</v>
      </c>
      <c r="N1688">
        <v>0</v>
      </c>
      <c r="O1688">
        <v>0</v>
      </c>
      <c r="P1688">
        <v>54.4</v>
      </c>
      <c r="Q1688">
        <v>5</v>
      </c>
      <c r="R1688">
        <v>5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5</v>
      </c>
      <c r="Z1688">
        <v>3</v>
      </c>
      <c r="AA1688">
        <v>0</v>
      </c>
      <c r="AC1688">
        <v>62.4</v>
      </c>
    </row>
    <row r="1689" spans="1:29">
      <c r="A1689">
        <v>1682</v>
      </c>
      <c r="B1689">
        <v>2184</v>
      </c>
      <c r="C1689" t="s">
        <v>3768</v>
      </c>
      <c r="D1689" t="s">
        <v>98</v>
      </c>
      <c r="E1689" t="s">
        <v>122</v>
      </c>
      <c r="F1689" t="s">
        <v>3769</v>
      </c>
      <c r="G1689" t="str">
        <f>"00859315"</f>
        <v>00859315</v>
      </c>
      <c r="H1689">
        <v>50.4</v>
      </c>
      <c r="I1689">
        <v>0</v>
      </c>
      <c r="J1689">
        <v>8</v>
      </c>
      <c r="M1689">
        <v>8</v>
      </c>
      <c r="N1689">
        <v>4</v>
      </c>
      <c r="O1689">
        <v>0</v>
      </c>
      <c r="P1689">
        <v>62.4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C1689">
        <v>62.4</v>
      </c>
    </row>
    <row r="1690" spans="1:29">
      <c r="A1690">
        <v>1683</v>
      </c>
      <c r="B1690">
        <v>118</v>
      </c>
      <c r="C1690" t="s">
        <v>3772</v>
      </c>
      <c r="D1690" t="s">
        <v>210</v>
      </c>
      <c r="E1690" t="s">
        <v>156</v>
      </c>
      <c r="F1690" t="s">
        <v>3773</v>
      </c>
      <c r="G1690" t="str">
        <f>"201510004976"</f>
        <v>201510004976</v>
      </c>
      <c r="H1690">
        <v>50.4</v>
      </c>
      <c r="I1690">
        <v>0</v>
      </c>
      <c r="J1690">
        <v>8</v>
      </c>
      <c r="M1690">
        <v>8</v>
      </c>
      <c r="N1690">
        <v>4</v>
      </c>
      <c r="O1690">
        <v>0</v>
      </c>
      <c r="P1690">
        <v>62.4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C1690">
        <v>62.4</v>
      </c>
    </row>
    <row r="1691" spans="1:29">
      <c r="A1691">
        <v>1684</v>
      </c>
      <c r="B1691">
        <v>4040</v>
      </c>
      <c r="C1691" t="s">
        <v>3774</v>
      </c>
      <c r="D1691" t="s">
        <v>102</v>
      </c>
      <c r="E1691" t="s">
        <v>18</v>
      </c>
      <c r="F1691" t="s">
        <v>3775</v>
      </c>
      <c r="G1691" t="str">
        <f>"00450815"</f>
        <v>00450815</v>
      </c>
      <c r="H1691">
        <v>50.4</v>
      </c>
      <c r="I1691">
        <v>0</v>
      </c>
      <c r="J1691">
        <v>8</v>
      </c>
      <c r="M1691">
        <v>8</v>
      </c>
      <c r="N1691">
        <v>4</v>
      </c>
      <c r="O1691">
        <v>0</v>
      </c>
      <c r="P1691">
        <v>62.4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C1691">
        <v>62.4</v>
      </c>
    </row>
    <row r="1692" spans="1:29">
      <c r="A1692">
        <v>1685</v>
      </c>
      <c r="B1692">
        <v>824</v>
      </c>
      <c r="C1692" t="s">
        <v>3770</v>
      </c>
      <c r="D1692" t="s">
        <v>46</v>
      </c>
      <c r="E1692" t="s">
        <v>156</v>
      </c>
      <c r="F1692" t="s">
        <v>3771</v>
      </c>
      <c r="G1692" t="str">
        <f>"00115529"</f>
        <v>00115529</v>
      </c>
      <c r="H1692">
        <v>50.4</v>
      </c>
      <c r="I1692">
        <v>0</v>
      </c>
      <c r="J1692">
        <v>8</v>
      </c>
      <c r="M1692">
        <v>8</v>
      </c>
      <c r="N1692">
        <v>4</v>
      </c>
      <c r="O1692">
        <v>0</v>
      </c>
      <c r="P1692">
        <v>62.4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0</v>
      </c>
      <c r="AC1692">
        <v>62.4</v>
      </c>
    </row>
    <row r="1693" spans="1:29">
      <c r="A1693">
        <v>1686</v>
      </c>
      <c r="B1693">
        <v>1192</v>
      </c>
      <c r="C1693" t="s">
        <v>3776</v>
      </c>
      <c r="D1693" t="s">
        <v>784</v>
      </c>
      <c r="E1693" t="s">
        <v>15</v>
      </c>
      <c r="F1693" t="s">
        <v>3777</v>
      </c>
      <c r="G1693" t="str">
        <f>"201511042238"</f>
        <v>201511042238</v>
      </c>
      <c r="H1693">
        <v>38.4</v>
      </c>
      <c r="I1693">
        <v>10</v>
      </c>
      <c r="J1693">
        <v>8</v>
      </c>
      <c r="M1693">
        <v>8</v>
      </c>
      <c r="N1693">
        <v>4</v>
      </c>
      <c r="O1693">
        <v>2</v>
      </c>
      <c r="P1693">
        <v>62.4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C1693">
        <v>62.4</v>
      </c>
    </row>
    <row r="1694" spans="1:29">
      <c r="A1694">
        <v>1687</v>
      </c>
      <c r="B1694">
        <v>4304</v>
      </c>
      <c r="C1694" t="s">
        <v>3778</v>
      </c>
      <c r="D1694" t="s">
        <v>147</v>
      </c>
      <c r="E1694" t="s">
        <v>28</v>
      </c>
      <c r="F1694" t="s">
        <v>3779</v>
      </c>
      <c r="G1694" t="str">
        <f>"00482223"</f>
        <v>00482223</v>
      </c>
      <c r="H1694">
        <v>23.28</v>
      </c>
      <c r="I1694">
        <v>0</v>
      </c>
      <c r="L1694">
        <v>4</v>
      </c>
      <c r="M1694">
        <v>4</v>
      </c>
      <c r="N1694">
        <v>4</v>
      </c>
      <c r="O1694">
        <v>0</v>
      </c>
      <c r="P1694">
        <v>31.28</v>
      </c>
      <c r="Q1694">
        <v>31</v>
      </c>
      <c r="R1694">
        <v>31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31</v>
      </c>
      <c r="Z1694">
        <v>0</v>
      </c>
      <c r="AA1694">
        <v>0</v>
      </c>
      <c r="AC1694">
        <v>62.28</v>
      </c>
    </row>
    <row r="1695" spans="1:29">
      <c r="A1695">
        <v>1688</v>
      </c>
      <c r="B1695">
        <v>3585</v>
      </c>
      <c r="C1695" t="s">
        <v>3780</v>
      </c>
      <c r="D1695" t="s">
        <v>24</v>
      </c>
      <c r="E1695" t="s">
        <v>1398</v>
      </c>
      <c r="F1695" t="s">
        <v>3781</v>
      </c>
      <c r="G1695" t="str">
        <f>"00142885"</f>
        <v>00142885</v>
      </c>
      <c r="H1695">
        <v>39.200000000000003</v>
      </c>
      <c r="I1695">
        <v>10</v>
      </c>
      <c r="M1695">
        <v>0</v>
      </c>
      <c r="N1695">
        <v>4</v>
      </c>
      <c r="O1695">
        <v>0</v>
      </c>
      <c r="P1695">
        <v>53.2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9</v>
      </c>
      <c r="AA1695">
        <v>0</v>
      </c>
      <c r="AC1695">
        <v>62.2</v>
      </c>
    </row>
    <row r="1696" spans="1:29">
      <c r="A1696">
        <v>1689</v>
      </c>
      <c r="B1696">
        <v>1344</v>
      </c>
      <c r="C1696" t="s">
        <v>192</v>
      </c>
      <c r="D1696" t="s">
        <v>39</v>
      </c>
      <c r="E1696" t="s">
        <v>18</v>
      </c>
      <c r="F1696" t="s">
        <v>3782</v>
      </c>
      <c r="G1696" t="str">
        <f>"00640354"</f>
        <v>00640354</v>
      </c>
      <c r="H1696">
        <v>33.200000000000003</v>
      </c>
      <c r="I1696">
        <v>10</v>
      </c>
      <c r="L1696">
        <v>4</v>
      </c>
      <c r="M1696">
        <v>4</v>
      </c>
      <c r="N1696">
        <v>4</v>
      </c>
      <c r="O1696">
        <v>2</v>
      </c>
      <c r="P1696">
        <v>53.2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9</v>
      </c>
      <c r="AA1696">
        <v>0</v>
      </c>
      <c r="AC1696">
        <v>62.2</v>
      </c>
    </row>
    <row r="1697" spans="1:29">
      <c r="A1697">
        <v>1690</v>
      </c>
      <c r="B1697">
        <v>228</v>
      </c>
      <c r="C1697" t="s">
        <v>3783</v>
      </c>
      <c r="D1697" t="s">
        <v>473</v>
      </c>
      <c r="E1697" t="s">
        <v>66</v>
      </c>
      <c r="F1697" t="s">
        <v>3784</v>
      </c>
      <c r="G1697" t="str">
        <f>"00161792"</f>
        <v>00161792</v>
      </c>
      <c r="H1697">
        <v>7.2</v>
      </c>
      <c r="I1697">
        <v>10</v>
      </c>
      <c r="L1697">
        <v>4</v>
      </c>
      <c r="M1697">
        <v>4</v>
      </c>
      <c r="N1697">
        <v>4</v>
      </c>
      <c r="O1697">
        <v>2</v>
      </c>
      <c r="P1697">
        <v>27.2</v>
      </c>
      <c r="Q1697">
        <v>29</v>
      </c>
      <c r="R1697">
        <v>29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29</v>
      </c>
      <c r="Z1697">
        <v>6</v>
      </c>
      <c r="AA1697">
        <v>0</v>
      </c>
      <c r="AC1697">
        <v>62.2</v>
      </c>
    </row>
    <row r="1698" spans="1:29">
      <c r="A1698">
        <v>1691</v>
      </c>
      <c r="B1698">
        <v>4319</v>
      </c>
      <c r="C1698" t="s">
        <v>3785</v>
      </c>
      <c r="D1698" t="s">
        <v>3786</v>
      </c>
      <c r="E1698" t="s">
        <v>337</v>
      </c>
      <c r="F1698" t="s">
        <v>3787</v>
      </c>
      <c r="G1698" t="str">
        <f>"00532510"</f>
        <v>00532510</v>
      </c>
      <c r="H1698">
        <v>7.2</v>
      </c>
      <c r="I1698">
        <v>0</v>
      </c>
      <c r="M1698">
        <v>0</v>
      </c>
      <c r="N1698">
        <v>4</v>
      </c>
      <c r="O1698">
        <v>2</v>
      </c>
      <c r="P1698">
        <v>13.2</v>
      </c>
      <c r="Q1698">
        <v>46</v>
      </c>
      <c r="R1698">
        <v>46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46</v>
      </c>
      <c r="Z1698">
        <v>3</v>
      </c>
      <c r="AA1698">
        <v>0</v>
      </c>
      <c r="AC1698">
        <v>62.2</v>
      </c>
    </row>
    <row r="1699" spans="1:29">
      <c r="A1699">
        <v>1692</v>
      </c>
      <c r="B1699">
        <v>2114</v>
      </c>
      <c r="C1699" t="s">
        <v>3788</v>
      </c>
      <c r="D1699" t="s">
        <v>3789</v>
      </c>
      <c r="E1699" t="s">
        <v>134</v>
      </c>
      <c r="F1699" t="s">
        <v>3790</v>
      </c>
      <c r="G1699" t="str">
        <f>"00421882"</f>
        <v>00421882</v>
      </c>
      <c r="H1699">
        <v>43.2</v>
      </c>
      <c r="I1699">
        <v>0</v>
      </c>
      <c r="J1699">
        <v>8</v>
      </c>
      <c r="M1699">
        <v>8</v>
      </c>
      <c r="N1699">
        <v>4</v>
      </c>
      <c r="O1699">
        <v>2</v>
      </c>
      <c r="P1699">
        <v>57.2</v>
      </c>
      <c r="Q1699">
        <v>5</v>
      </c>
      <c r="R1699">
        <v>5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5</v>
      </c>
      <c r="Z1699">
        <v>0</v>
      </c>
      <c r="AA1699">
        <v>0</v>
      </c>
      <c r="AC1699">
        <v>62.2</v>
      </c>
    </row>
    <row r="1700" spans="1:29">
      <c r="A1700">
        <v>1693</v>
      </c>
      <c r="B1700">
        <v>4854</v>
      </c>
      <c r="C1700" t="s">
        <v>571</v>
      </c>
      <c r="D1700" t="s">
        <v>20</v>
      </c>
      <c r="E1700" t="s">
        <v>36</v>
      </c>
      <c r="F1700" t="s">
        <v>3791</v>
      </c>
      <c r="G1700" t="str">
        <f>"00459309"</f>
        <v>00459309</v>
      </c>
      <c r="H1700">
        <v>9.1999999999999993</v>
      </c>
      <c r="I1700">
        <v>10</v>
      </c>
      <c r="J1700">
        <v>8</v>
      </c>
      <c r="M1700">
        <v>8</v>
      </c>
      <c r="N1700">
        <v>4</v>
      </c>
      <c r="O1700">
        <v>2</v>
      </c>
      <c r="P1700">
        <v>33.200000000000003</v>
      </c>
      <c r="Q1700">
        <v>29</v>
      </c>
      <c r="R1700">
        <v>29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29</v>
      </c>
      <c r="Z1700">
        <v>0</v>
      </c>
      <c r="AA1700">
        <v>0</v>
      </c>
      <c r="AC1700">
        <v>62.2</v>
      </c>
    </row>
    <row r="1701" spans="1:29">
      <c r="A1701">
        <v>1694</v>
      </c>
      <c r="B1701">
        <v>4338</v>
      </c>
      <c r="C1701" t="s">
        <v>2422</v>
      </c>
      <c r="D1701" t="s">
        <v>3792</v>
      </c>
      <c r="E1701" t="s">
        <v>18</v>
      </c>
      <c r="F1701" t="s">
        <v>3793</v>
      </c>
      <c r="G1701" t="str">
        <f>"00492404"</f>
        <v>00492404</v>
      </c>
      <c r="H1701">
        <v>7.2</v>
      </c>
      <c r="I1701">
        <v>0</v>
      </c>
      <c r="L1701">
        <v>4</v>
      </c>
      <c r="M1701">
        <v>4</v>
      </c>
      <c r="N1701">
        <v>4</v>
      </c>
      <c r="O1701">
        <v>2</v>
      </c>
      <c r="P1701">
        <v>17.2</v>
      </c>
      <c r="Q1701">
        <v>45</v>
      </c>
      <c r="R1701">
        <v>45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45</v>
      </c>
      <c r="Z1701">
        <v>0</v>
      </c>
      <c r="AA1701">
        <v>0</v>
      </c>
      <c r="AC1701">
        <v>62.2</v>
      </c>
    </row>
    <row r="1702" spans="1:29">
      <c r="A1702">
        <v>1695</v>
      </c>
      <c r="B1702">
        <v>3659</v>
      </c>
      <c r="C1702" t="s">
        <v>1090</v>
      </c>
      <c r="D1702" t="s">
        <v>279</v>
      </c>
      <c r="E1702" t="s">
        <v>66</v>
      </c>
      <c r="F1702" t="s">
        <v>3794</v>
      </c>
      <c r="G1702" t="str">
        <f>"00859633"</f>
        <v>00859633</v>
      </c>
      <c r="H1702">
        <v>36</v>
      </c>
      <c r="I1702">
        <v>10</v>
      </c>
      <c r="L1702">
        <v>4</v>
      </c>
      <c r="M1702">
        <v>4</v>
      </c>
      <c r="N1702">
        <v>4</v>
      </c>
      <c r="O1702">
        <v>2</v>
      </c>
      <c r="P1702">
        <v>56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6</v>
      </c>
      <c r="AA1702">
        <v>0</v>
      </c>
      <c r="AC1702">
        <v>62</v>
      </c>
    </row>
    <row r="1703" spans="1:29">
      <c r="A1703">
        <v>1696</v>
      </c>
      <c r="B1703">
        <v>1225</v>
      </c>
      <c r="C1703" t="s">
        <v>3795</v>
      </c>
      <c r="D1703" t="s">
        <v>27</v>
      </c>
      <c r="E1703" t="s">
        <v>66</v>
      </c>
      <c r="F1703" t="s">
        <v>3796</v>
      </c>
      <c r="G1703" t="str">
        <f>"201406003355"</f>
        <v>201406003355</v>
      </c>
      <c r="H1703">
        <v>36</v>
      </c>
      <c r="I1703">
        <v>0</v>
      </c>
      <c r="L1703">
        <v>8</v>
      </c>
      <c r="M1703">
        <v>8</v>
      </c>
      <c r="N1703">
        <v>4</v>
      </c>
      <c r="O1703">
        <v>2</v>
      </c>
      <c r="P1703">
        <v>50</v>
      </c>
      <c r="Q1703">
        <v>9</v>
      </c>
      <c r="R1703">
        <v>9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9</v>
      </c>
      <c r="Z1703">
        <v>3</v>
      </c>
      <c r="AA1703">
        <v>0</v>
      </c>
      <c r="AC1703">
        <v>62</v>
      </c>
    </row>
    <row r="1704" spans="1:29">
      <c r="A1704">
        <v>1697</v>
      </c>
      <c r="B1704">
        <v>521</v>
      </c>
      <c r="C1704" t="s">
        <v>3797</v>
      </c>
      <c r="D1704" t="s">
        <v>17</v>
      </c>
      <c r="E1704" t="s">
        <v>410</v>
      </c>
      <c r="F1704" t="s">
        <v>3798</v>
      </c>
      <c r="G1704" t="str">
        <f>"00094730"</f>
        <v>00094730</v>
      </c>
      <c r="H1704">
        <v>36</v>
      </c>
      <c r="I1704">
        <v>0</v>
      </c>
      <c r="K1704">
        <v>6</v>
      </c>
      <c r="M1704">
        <v>6</v>
      </c>
      <c r="N1704">
        <v>4</v>
      </c>
      <c r="O1704">
        <v>2</v>
      </c>
      <c r="P1704">
        <v>48</v>
      </c>
      <c r="Q1704">
        <v>11</v>
      </c>
      <c r="R1704">
        <v>11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11</v>
      </c>
      <c r="Z1704">
        <v>3</v>
      </c>
      <c r="AA1704">
        <v>0</v>
      </c>
      <c r="AC1704">
        <v>62</v>
      </c>
    </row>
    <row r="1705" spans="1:29">
      <c r="A1705">
        <v>1698</v>
      </c>
      <c r="B1705">
        <v>1392</v>
      </c>
      <c r="C1705" t="s">
        <v>3799</v>
      </c>
      <c r="D1705" t="s">
        <v>159</v>
      </c>
      <c r="E1705" t="s">
        <v>165</v>
      </c>
      <c r="F1705" t="s">
        <v>3800</v>
      </c>
      <c r="G1705" t="str">
        <f>"00508904"</f>
        <v>00508904</v>
      </c>
      <c r="H1705">
        <v>36</v>
      </c>
      <c r="I1705">
        <v>10</v>
      </c>
      <c r="M1705">
        <v>0</v>
      </c>
      <c r="N1705">
        <v>0</v>
      </c>
      <c r="O1705">
        <v>0</v>
      </c>
      <c r="P1705">
        <v>46</v>
      </c>
      <c r="Q1705">
        <v>13</v>
      </c>
      <c r="R1705">
        <v>13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13</v>
      </c>
      <c r="Z1705">
        <v>3</v>
      </c>
      <c r="AA1705">
        <v>0</v>
      </c>
      <c r="AC1705">
        <v>62</v>
      </c>
    </row>
    <row r="1706" spans="1:29">
      <c r="A1706">
        <v>1699</v>
      </c>
      <c r="B1706">
        <v>846</v>
      </c>
      <c r="C1706" t="s">
        <v>3801</v>
      </c>
      <c r="D1706" t="s">
        <v>164</v>
      </c>
      <c r="E1706" t="s">
        <v>36</v>
      </c>
      <c r="F1706" t="s">
        <v>3802</v>
      </c>
      <c r="G1706" t="str">
        <f>"00202638"</f>
        <v>00202638</v>
      </c>
      <c r="H1706">
        <v>40</v>
      </c>
      <c r="I1706">
        <v>10</v>
      </c>
      <c r="M1706">
        <v>0</v>
      </c>
      <c r="N1706">
        <v>4</v>
      </c>
      <c r="O1706">
        <v>0</v>
      </c>
      <c r="P1706">
        <v>54</v>
      </c>
      <c r="Q1706">
        <v>8</v>
      </c>
      <c r="R1706">
        <v>8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8</v>
      </c>
      <c r="Z1706">
        <v>0</v>
      </c>
      <c r="AA1706">
        <v>0</v>
      </c>
      <c r="AC1706">
        <v>62</v>
      </c>
    </row>
    <row r="1707" spans="1:29">
      <c r="A1707">
        <v>1700</v>
      </c>
      <c r="B1707">
        <v>487</v>
      </c>
      <c r="C1707" t="s">
        <v>3803</v>
      </c>
      <c r="D1707" t="s">
        <v>251</v>
      </c>
      <c r="E1707" t="s">
        <v>79</v>
      </c>
      <c r="F1707" t="s">
        <v>3804</v>
      </c>
      <c r="G1707" t="str">
        <f>"00124225"</f>
        <v>00124225</v>
      </c>
      <c r="H1707">
        <v>36</v>
      </c>
      <c r="I1707">
        <v>0</v>
      </c>
      <c r="L1707">
        <v>4</v>
      </c>
      <c r="M1707">
        <v>4</v>
      </c>
      <c r="N1707">
        <v>4</v>
      </c>
      <c r="O1707">
        <v>2</v>
      </c>
      <c r="P1707">
        <v>46</v>
      </c>
      <c r="Q1707">
        <v>16</v>
      </c>
      <c r="R1707">
        <v>16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16</v>
      </c>
      <c r="Z1707">
        <v>0</v>
      </c>
      <c r="AA1707">
        <v>0</v>
      </c>
      <c r="AC1707">
        <v>62</v>
      </c>
    </row>
    <row r="1708" spans="1:29">
      <c r="A1708">
        <v>1701</v>
      </c>
      <c r="B1708">
        <v>1435</v>
      </c>
      <c r="C1708" t="s">
        <v>852</v>
      </c>
      <c r="D1708" t="s">
        <v>98</v>
      </c>
      <c r="E1708" t="s">
        <v>187</v>
      </c>
      <c r="F1708" t="s">
        <v>3805</v>
      </c>
      <c r="G1708" t="str">
        <f>"00505333"</f>
        <v>00505333</v>
      </c>
      <c r="H1708">
        <v>36</v>
      </c>
      <c r="I1708">
        <v>0</v>
      </c>
      <c r="L1708">
        <v>4</v>
      </c>
      <c r="M1708">
        <v>4</v>
      </c>
      <c r="N1708">
        <v>4</v>
      </c>
      <c r="O1708">
        <v>0</v>
      </c>
      <c r="P1708">
        <v>44</v>
      </c>
      <c r="Q1708">
        <v>18</v>
      </c>
      <c r="R1708">
        <v>18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18</v>
      </c>
      <c r="Z1708">
        <v>0</v>
      </c>
      <c r="AA1708">
        <v>0</v>
      </c>
      <c r="AC1708">
        <v>62</v>
      </c>
    </row>
    <row r="1709" spans="1:29">
      <c r="A1709">
        <v>1702</v>
      </c>
      <c r="B1709">
        <v>3587</v>
      </c>
      <c r="C1709" t="s">
        <v>3806</v>
      </c>
      <c r="D1709" t="s">
        <v>3807</v>
      </c>
      <c r="E1709" t="s">
        <v>36</v>
      </c>
      <c r="F1709" t="s">
        <v>3808</v>
      </c>
      <c r="G1709" t="str">
        <f>"00441640"</f>
        <v>00441640</v>
      </c>
      <c r="H1709">
        <v>36</v>
      </c>
      <c r="I1709">
        <v>0</v>
      </c>
      <c r="M1709">
        <v>0</v>
      </c>
      <c r="N1709">
        <v>0</v>
      </c>
      <c r="O1709">
        <v>2</v>
      </c>
      <c r="P1709">
        <v>38</v>
      </c>
      <c r="Q1709">
        <v>10</v>
      </c>
      <c r="R1709">
        <v>10</v>
      </c>
      <c r="S1709">
        <v>7</v>
      </c>
      <c r="T1709">
        <v>14</v>
      </c>
      <c r="U1709">
        <v>0</v>
      </c>
      <c r="V1709">
        <v>0</v>
      </c>
      <c r="W1709">
        <v>0</v>
      </c>
      <c r="X1709">
        <v>0</v>
      </c>
      <c r="Y1709">
        <v>24</v>
      </c>
      <c r="Z1709">
        <v>0</v>
      </c>
      <c r="AA1709">
        <v>0</v>
      </c>
      <c r="AC1709">
        <v>62</v>
      </c>
    </row>
    <row r="1710" spans="1:29">
      <c r="A1710">
        <v>1703</v>
      </c>
      <c r="B1710">
        <v>729</v>
      </c>
      <c r="C1710" t="s">
        <v>3809</v>
      </c>
      <c r="D1710" t="s">
        <v>400</v>
      </c>
      <c r="E1710" t="s">
        <v>15</v>
      </c>
      <c r="F1710" t="s">
        <v>3810</v>
      </c>
      <c r="G1710" t="str">
        <f>"00290135"</f>
        <v>00290135</v>
      </c>
      <c r="H1710">
        <v>29.8</v>
      </c>
      <c r="I1710">
        <v>0</v>
      </c>
      <c r="M1710">
        <v>0</v>
      </c>
      <c r="N1710">
        <v>4</v>
      </c>
      <c r="O1710">
        <v>2</v>
      </c>
      <c r="P1710">
        <v>35.799999999999997</v>
      </c>
      <c r="Q1710">
        <v>17</v>
      </c>
      <c r="R1710">
        <v>17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17</v>
      </c>
      <c r="Z1710">
        <v>9</v>
      </c>
      <c r="AA1710">
        <v>0</v>
      </c>
      <c r="AC1710">
        <v>61.8</v>
      </c>
    </row>
    <row r="1711" spans="1:29">
      <c r="A1711">
        <v>1704</v>
      </c>
      <c r="B1711">
        <v>525</v>
      </c>
      <c r="C1711" t="s">
        <v>3811</v>
      </c>
      <c r="D1711" t="s">
        <v>52</v>
      </c>
      <c r="E1711" t="s">
        <v>15</v>
      </c>
      <c r="F1711" t="s">
        <v>3812</v>
      </c>
      <c r="G1711" t="str">
        <f>"00527123"</f>
        <v>00527123</v>
      </c>
      <c r="H1711">
        <v>28.8</v>
      </c>
      <c r="I1711">
        <v>0</v>
      </c>
      <c r="M1711">
        <v>0</v>
      </c>
      <c r="N1711">
        <v>4</v>
      </c>
      <c r="O1711">
        <v>0</v>
      </c>
      <c r="P1711">
        <v>32.799999999999997</v>
      </c>
      <c r="Q1711">
        <v>23</v>
      </c>
      <c r="R1711">
        <v>23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23</v>
      </c>
      <c r="Z1711">
        <v>6</v>
      </c>
      <c r="AA1711">
        <v>0</v>
      </c>
      <c r="AC1711">
        <v>61.8</v>
      </c>
    </row>
    <row r="1712" spans="1:29">
      <c r="A1712">
        <v>1705</v>
      </c>
      <c r="B1712">
        <v>3746</v>
      </c>
      <c r="C1712" t="s">
        <v>3813</v>
      </c>
      <c r="D1712" t="s">
        <v>1278</v>
      </c>
      <c r="E1712" t="s">
        <v>122</v>
      </c>
      <c r="F1712" t="s">
        <v>3814</v>
      </c>
      <c r="G1712" t="str">
        <f>"201501000263"</f>
        <v>201501000263</v>
      </c>
      <c r="H1712">
        <v>38.799999999999997</v>
      </c>
      <c r="I1712">
        <v>10</v>
      </c>
      <c r="L1712">
        <v>4</v>
      </c>
      <c r="M1712">
        <v>4</v>
      </c>
      <c r="N1712">
        <v>4</v>
      </c>
      <c r="O1712">
        <v>2</v>
      </c>
      <c r="P1712">
        <v>58.8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3</v>
      </c>
      <c r="AA1712">
        <v>0</v>
      </c>
      <c r="AC1712">
        <v>61.8</v>
      </c>
    </row>
    <row r="1713" spans="1:29">
      <c r="A1713">
        <v>1706</v>
      </c>
      <c r="B1713">
        <v>895</v>
      </c>
      <c r="C1713" t="s">
        <v>1625</v>
      </c>
      <c r="D1713" t="s">
        <v>27</v>
      </c>
      <c r="E1713" t="s">
        <v>15</v>
      </c>
      <c r="F1713" t="s">
        <v>3815</v>
      </c>
      <c r="G1713" t="str">
        <f>"00528662"</f>
        <v>00528662</v>
      </c>
      <c r="H1713">
        <v>28.8</v>
      </c>
      <c r="I1713">
        <v>0</v>
      </c>
      <c r="J1713">
        <v>8</v>
      </c>
      <c r="M1713">
        <v>8</v>
      </c>
      <c r="N1713">
        <v>4</v>
      </c>
      <c r="O1713">
        <v>2</v>
      </c>
      <c r="P1713">
        <v>42.8</v>
      </c>
      <c r="Q1713">
        <v>16</v>
      </c>
      <c r="R1713">
        <v>16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16</v>
      </c>
      <c r="Z1713">
        <v>3</v>
      </c>
      <c r="AA1713">
        <v>0</v>
      </c>
      <c r="AC1713">
        <v>61.8</v>
      </c>
    </row>
    <row r="1714" spans="1:29">
      <c r="A1714">
        <v>1707</v>
      </c>
      <c r="B1714">
        <v>4190</v>
      </c>
      <c r="C1714" t="s">
        <v>1274</v>
      </c>
      <c r="D1714" t="s">
        <v>164</v>
      </c>
      <c r="E1714" t="s">
        <v>187</v>
      </c>
      <c r="F1714" t="s">
        <v>3816</v>
      </c>
      <c r="G1714" t="str">
        <f>"00498655"</f>
        <v>00498655</v>
      </c>
      <c r="H1714">
        <v>21.6</v>
      </c>
      <c r="I1714">
        <v>0</v>
      </c>
      <c r="M1714">
        <v>0</v>
      </c>
      <c r="N1714">
        <v>0</v>
      </c>
      <c r="O1714">
        <v>0</v>
      </c>
      <c r="P1714">
        <v>21.6</v>
      </c>
      <c r="Q1714">
        <v>5</v>
      </c>
      <c r="R1714">
        <v>5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5</v>
      </c>
      <c r="Z1714">
        <v>3</v>
      </c>
      <c r="AA1714">
        <v>32</v>
      </c>
      <c r="AC1714">
        <v>61.6</v>
      </c>
    </row>
    <row r="1715" spans="1:29">
      <c r="A1715">
        <v>1708</v>
      </c>
      <c r="B1715">
        <v>1412</v>
      </c>
      <c r="C1715" t="s">
        <v>3817</v>
      </c>
      <c r="D1715" t="s">
        <v>3818</v>
      </c>
      <c r="E1715" t="s">
        <v>237</v>
      </c>
      <c r="F1715" t="s">
        <v>3819</v>
      </c>
      <c r="G1715" t="str">
        <f>"00500183"</f>
        <v>00500183</v>
      </c>
      <c r="H1715">
        <v>21.6</v>
      </c>
      <c r="I1715">
        <v>0</v>
      </c>
      <c r="M1715">
        <v>0</v>
      </c>
      <c r="N1715">
        <v>0</v>
      </c>
      <c r="O1715">
        <v>0</v>
      </c>
      <c r="P1715">
        <v>21.6</v>
      </c>
      <c r="Q1715">
        <v>34</v>
      </c>
      <c r="R1715">
        <v>34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34</v>
      </c>
      <c r="Z1715">
        <v>6</v>
      </c>
      <c r="AA1715">
        <v>0</v>
      </c>
      <c r="AC1715">
        <v>61.6</v>
      </c>
    </row>
    <row r="1716" spans="1:29">
      <c r="A1716">
        <v>1709</v>
      </c>
      <c r="B1716">
        <v>1261</v>
      </c>
      <c r="C1716" t="s">
        <v>3597</v>
      </c>
      <c r="D1716" t="s">
        <v>95</v>
      </c>
      <c r="E1716" t="s">
        <v>60</v>
      </c>
      <c r="F1716" t="s">
        <v>3838</v>
      </c>
      <c r="G1716" t="str">
        <f>"00523889"</f>
        <v>00523889</v>
      </c>
      <c r="H1716">
        <v>57.6</v>
      </c>
      <c r="I1716">
        <v>0</v>
      </c>
      <c r="M1716">
        <v>0</v>
      </c>
      <c r="N1716">
        <v>4</v>
      </c>
      <c r="O1716">
        <v>0</v>
      </c>
      <c r="P1716">
        <v>61.6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C1716">
        <v>61.6</v>
      </c>
    </row>
    <row r="1717" spans="1:29">
      <c r="A1717">
        <v>1710</v>
      </c>
      <c r="B1717">
        <v>2330</v>
      </c>
      <c r="C1717" t="s">
        <v>3821</v>
      </c>
      <c r="D1717" t="s">
        <v>164</v>
      </c>
      <c r="E1717" t="s">
        <v>36</v>
      </c>
      <c r="F1717" t="s">
        <v>3822</v>
      </c>
      <c r="G1717" t="str">
        <f>"00860562"</f>
        <v>00860562</v>
      </c>
      <c r="H1717">
        <v>57.6</v>
      </c>
      <c r="I1717">
        <v>0</v>
      </c>
      <c r="L1717">
        <v>4</v>
      </c>
      <c r="M1717">
        <v>4</v>
      </c>
      <c r="N1717">
        <v>0</v>
      </c>
      <c r="O1717">
        <v>0</v>
      </c>
      <c r="P1717">
        <v>61.6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0</v>
      </c>
      <c r="AC1717">
        <v>61.6</v>
      </c>
    </row>
    <row r="1718" spans="1:29">
      <c r="A1718">
        <v>1711</v>
      </c>
      <c r="B1718">
        <v>344</v>
      </c>
      <c r="C1718" t="s">
        <v>3823</v>
      </c>
      <c r="D1718" t="s">
        <v>52</v>
      </c>
      <c r="E1718" t="s">
        <v>410</v>
      </c>
      <c r="F1718" t="s">
        <v>3824</v>
      </c>
      <c r="G1718" t="str">
        <f>"00859293"</f>
        <v>00859293</v>
      </c>
      <c r="H1718">
        <v>57.6</v>
      </c>
      <c r="I1718">
        <v>0</v>
      </c>
      <c r="M1718">
        <v>0</v>
      </c>
      <c r="N1718">
        <v>4</v>
      </c>
      <c r="O1718">
        <v>0</v>
      </c>
      <c r="P1718">
        <v>61.6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C1718">
        <v>61.6</v>
      </c>
    </row>
    <row r="1719" spans="1:29">
      <c r="A1719">
        <v>1712</v>
      </c>
      <c r="B1719">
        <v>1795</v>
      </c>
      <c r="C1719" t="s">
        <v>3828</v>
      </c>
      <c r="D1719" t="s">
        <v>52</v>
      </c>
      <c r="E1719" t="s">
        <v>15</v>
      </c>
      <c r="F1719" t="s">
        <v>3829</v>
      </c>
      <c r="G1719" t="str">
        <f>"00762205"</f>
        <v>00762205</v>
      </c>
      <c r="H1719">
        <v>57.6</v>
      </c>
      <c r="I1719">
        <v>0</v>
      </c>
      <c r="L1719">
        <v>4</v>
      </c>
      <c r="M1719">
        <v>4</v>
      </c>
      <c r="N1719">
        <v>0</v>
      </c>
      <c r="O1719">
        <v>0</v>
      </c>
      <c r="P1719">
        <v>61.6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C1719">
        <v>61.6</v>
      </c>
    </row>
    <row r="1720" spans="1:29">
      <c r="A1720">
        <v>1713</v>
      </c>
      <c r="B1720">
        <v>4124</v>
      </c>
      <c r="C1720" t="s">
        <v>399</v>
      </c>
      <c r="D1720" t="s">
        <v>784</v>
      </c>
      <c r="E1720" t="s">
        <v>79</v>
      </c>
      <c r="F1720" t="s">
        <v>3820</v>
      </c>
      <c r="G1720" t="str">
        <f>"00865293"</f>
        <v>00865293</v>
      </c>
      <c r="H1720">
        <v>57.6</v>
      </c>
      <c r="I1720">
        <v>0</v>
      </c>
      <c r="M1720">
        <v>0</v>
      </c>
      <c r="N1720">
        <v>4</v>
      </c>
      <c r="O1720">
        <v>0</v>
      </c>
      <c r="P1720">
        <v>61.6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C1720">
        <v>61.6</v>
      </c>
    </row>
    <row r="1721" spans="1:29">
      <c r="A1721">
        <v>1714</v>
      </c>
      <c r="B1721">
        <v>2521</v>
      </c>
      <c r="C1721" t="s">
        <v>3830</v>
      </c>
      <c r="D1721" t="s">
        <v>24</v>
      </c>
      <c r="E1721" t="s">
        <v>3831</v>
      </c>
      <c r="F1721" t="s">
        <v>3832</v>
      </c>
      <c r="G1721" t="str">
        <f>"00864212"</f>
        <v>00864212</v>
      </c>
      <c r="H1721">
        <v>57.6</v>
      </c>
      <c r="I1721">
        <v>0</v>
      </c>
      <c r="L1721">
        <v>4</v>
      </c>
      <c r="M1721">
        <v>4</v>
      </c>
      <c r="N1721">
        <v>0</v>
      </c>
      <c r="O1721">
        <v>0</v>
      </c>
      <c r="P1721">
        <v>61.6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C1721">
        <v>61.6</v>
      </c>
    </row>
    <row r="1722" spans="1:29">
      <c r="A1722">
        <v>1715</v>
      </c>
      <c r="B1722">
        <v>3251</v>
      </c>
      <c r="C1722" t="s">
        <v>1708</v>
      </c>
      <c r="D1722" t="s">
        <v>159</v>
      </c>
      <c r="E1722" t="s">
        <v>36</v>
      </c>
      <c r="F1722" t="s">
        <v>3833</v>
      </c>
      <c r="G1722" t="str">
        <f>"00555837"</f>
        <v>00555837</v>
      </c>
      <c r="H1722">
        <v>57.6</v>
      </c>
      <c r="I1722">
        <v>0</v>
      </c>
      <c r="L1722">
        <v>4</v>
      </c>
      <c r="M1722">
        <v>4</v>
      </c>
      <c r="N1722">
        <v>0</v>
      </c>
      <c r="O1722">
        <v>0</v>
      </c>
      <c r="P1722">
        <v>61.6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C1722">
        <v>61.6</v>
      </c>
    </row>
    <row r="1723" spans="1:29">
      <c r="A1723">
        <v>1716</v>
      </c>
      <c r="B1723">
        <v>4760</v>
      </c>
      <c r="C1723" t="s">
        <v>3834</v>
      </c>
      <c r="D1723" t="s">
        <v>170</v>
      </c>
      <c r="E1723" t="s">
        <v>115</v>
      </c>
      <c r="F1723" t="s">
        <v>3835</v>
      </c>
      <c r="G1723" t="str">
        <f>"00796852"</f>
        <v>00796852</v>
      </c>
      <c r="H1723">
        <v>57.6</v>
      </c>
      <c r="I1723">
        <v>0</v>
      </c>
      <c r="M1723">
        <v>0</v>
      </c>
      <c r="N1723">
        <v>4</v>
      </c>
      <c r="O1723">
        <v>0</v>
      </c>
      <c r="P1723">
        <v>61.6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C1723">
        <v>61.6</v>
      </c>
    </row>
    <row r="1724" spans="1:29">
      <c r="A1724">
        <v>1717</v>
      </c>
      <c r="B1724">
        <v>4798</v>
      </c>
      <c r="C1724" t="s">
        <v>3836</v>
      </c>
      <c r="D1724" t="s">
        <v>98</v>
      </c>
      <c r="E1724" t="s">
        <v>122</v>
      </c>
      <c r="F1724" t="s">
        <v>3837</v>
      </c>
      <c r="G1724" t="str">
        <f>"00391762"</f>
        <v>00391762</v>
      </c>
      <c r="H1724">
        <v>57.6</v>
      </c>
      <c r="I1724">
        <v>0</v>
      </c>
      <c r="M1724">
        <v>0</v>
      </c>
      <c r="N1724">
        <v>4</v>
      </c>
      <c r="O1724">
        <v>0</v>
      </c>
      <c r="P1724">
        <v>61.6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C1724">
        <v>61.6</v>
      </c>
    </row>
    <row r="1725" spans="1:29">
      <c r="A1725">
        <v>1718</v>
      </c>
      <c r="B1725">
        <v>3561</v>
      </c>
      <c r="C1725" t="s">
        <v>779</v>
      </c>
      <c r="D1725" t="s">
        <v>113</v>
      </c>
      <c r="E1725" t="s">
        <v>79</v>
      </c>
      <c r="F1725" t="s">
        <v>3827</v>
      </c>
      <c r="G1725" t="str">
        <f>"200802009359"</f>
        <v>200802009359</v>
      </c>
      <c r="H1725">
        <v>57.6</v>
      </c>
      <c r="I1725">
        <v>0</v>
      </c>
      <c r="L1725">
        <v>4</v>
      </c>
      <c r="M1725">
        <v>4</v>
      </c>
      <c r="N1725">
        <v>0</v>
      </c>
      <c r="O1725">
        <v>0</v>
      </c>
      <c r="P1725">
        <v>61.6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C1725">
        <v>61.6</v>
      </c>
    </row>
    <row r="1726" spans="1:29">
      <c r="A1726">
        <v>1719</v>
      </c>
      <c r="B1726">
        <v>2203</v>
      </c>
      <c r="C1726" t="s">
        <v>3825</v>
      </c>
      <c r="D1726" t="s">
        <v>86</v>
      </c>
      <c r="E1726" t="s">
        <v>165</v>
      </c>
      <c r="F1726" t="s">
        <v>3826</v>
      </c>
      <c r="G1726" t="str">
        <f>"00800576"</f>
        <v>00800576</v>
      </c>
      <c r="H1726">
        <v>57.6</v>
      </c>
      <c r="I1726">
        <v>0</v>
      </c>
      <c r="M1726">
        <v>0</v>
      </c>
      <c r="N1726">
        <v>4</v>
      </c>
      <c r="O1726">
        <v>0</v>
      </c>
      <c r="P1726">
        <v>61.6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C1726">
        <v>61.6</v>
      </c>
    </row>
    <row r="1727" spans="1:29">
      <c r="A1727">
        <v>1720</v>
      </c>
      <c r="B1727">
        <v>3314</v>
      </c>
      <c r="C1727" t="s">
        <v>3839</v>
      </c>
      <c r="D1727" t="s">
        <v>3840</v>
      </c>
      <c r="E1727" t="s">
        <v>18</v>
      </c>
      <c r="F1727" t="s">
        <v>3841</v>
      </c>
      <c r="G1727" t="str">
        <f>"00422594"</f>
        <v>00422594</v>
      </c>
      <c r="H1727">
        <v>21.6</v>
      </c>
      <c r="I1727">
        <v>10</v>
      </c>
      <c r="J1727">
        <v>8</v>
      </c>
      <c r="M1727">
        <v>8</v>
      </c>
      <c r="N1727">
        <v>4</v>
      </c>
      <c r="O1727">
        <v>2</v>
      </c>
      <c r="P1727">
        <v>45.6</v>
      </c>
      <c r="Q1727">
        <v>16</v>
      </c>
      <c r="R1727">
        <v>16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16</v>
      </c>
      <c r="Z1727">
        <v>0</v>
      </c>
      <c r="AA1727">
        <v>0</v>
      </c>
      <c r="AC1727">
        <v>61.6</v>
      </c>
    </row>
    <row r="1728" spans="1:29">
      <c r="A1728">
        <v>1721</v>
      </c>
      <c r="B1728">
        <v>2941</v>
      </c>
      <c r="C1728" t="s">
        <v>3842</v>
      </c>
      <c r="D1728" t="s">
        <v>588</v>
      </c>
      <c r="E1728" t="s">
        <v>66</v>
      </c>
      <c r="F1728" t="s">
        <v>3843</v>
      </c>
      <c r="G1728" t="str">
        <f>"00490701"</f>
        <v>00490701</v>
      </c>
      <c r="H1728">
        <v>21.6</v>
      </c>
      <c r="I1728">
        <v>0</v>
      </c>
      <c r="J1728">
        <v>16</v>
      </c>
      <c r="M1728">
        <v>16</v>
      </c>
      <c r="N1728">
        <v>4</v>
      </c>
      <c r="O1728">
        <v>2</v>
      </c>
      <c r="P1728">
        <v>43.6</v>
      </c>
      <c r="Q1728">
        <v>18</v>
      </c>
      <c r="R1728">
        <v>18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18</v>
      </c>
      <c r="Z1728">
        <v>0</v>
      </c>
      <c r="AA1728">
        <v>0</v>
      </c>
      <c r="AC1728">
        <v>61.6</v>
      </c>
    </row>
    <row r="1729" spans="1:29">
      <c r="A1729">
        <v>1722</v>
      </c>
      <c r="B1729">
        <v>844</v>
      </c>
      <c r="C1729" t="s">
        <v>3844</v>
      </c>
      <c r="D1729" t="s">
        <v>39</v>
      </c>
      <c r="E1729" t="s">
        <v>36</v>
      </c>
      <c r="F1729" t="s">
        <v>3845</v>
      </c>
      <c r="G1729" t="str">
        <f>"00532550"</f>
        <v>00532550</v>
      </c>
      <c r="H1729">
        <v>14.4</v>
      </c>
      <c r="I1729">
        <v>0</v>
      </c>
      <c r="L1729">
        <v>4</v>
      </c>
      <c r="M1729">
        <v>4</v>
      </c>
      <c r="N1729">
        <v>4</v>
      </c>
      <c r="O1729">
        <v>0</v>
      </c>
      <c r="P1729">
        <v>22.4</v>
      </c>
      <c r="Q1729">
        <v>30</v>
      </c>
      <c r="R1729">
        <v>30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30</v>
      </c>
      <c r="Z1729">
        <v>9</v>
      </c>
      <c r="AA1729">
        <v>0</v>
      </c>
      <c r="AC1729">
        <v>61.4</v>
      </c>
    </row>
    <row r="1730" spans="1:29">
      <c r="A1730">
        <v>1723</v>
      </c>
      <c r="B1730">
        <v>363</v>
      </c>
      <c r="C1730" t="s">
        <v>3853</v>
      </c>
      <c r="D1730" t="s">
        <v>210</v>
      </c>
      <c r="E1730" t="s">
        <v>79</v>
      </c>
      <c r="F1730" t="s">
        <v>3854</v>
      </c>
      <c r="G1730" t="str">
        <f>"00822700"</f>
        <v>00822700</v>
      </c>
      <c r="H1730">
        <v>50.4</v>
      </c>
      <c r="I1730">
        <v>0</v>
      </c>
      <c r="L1730">
        <v>4</v>
      </c>
      <c r="M1730">
        <v>4</v>
      </c>
      <c r="N1730">
        <v>4</v>
      </c>
      <c r="O1730">
        <v>0</v>
      </c>
      <c r="P1730">
        <v>58.4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3</v>
      </c>
      <c r="AA1730">
        <v>0</v>
      </c>
      <c r="AC1730">
        <v>61.4</v>
      </c>
    </row>
    <row r="1731" spans="1:29">
      <c r="A1731">
        <v>1724</v>
      </c>
      <c r="B1731">
        <v>1107</v>
      </c>
      <c r="C1731" t="s">
        <v>3850</v>
      </c>
      <c r="D1731" t="s">
        <v>39</v>
      </c>
      <c r="E1731" t="s">
        <v>3851</v>
      </c>
      <c r="F1731" t="s">
        <v>3852</v>
      </c>
      <c r="G1731" t="str">
        <f>"00532792"</f>
        <v>00532792</v>
      </c>
      <c r="H1731">
        <v>50.4</v>
      </c>
      <c r="I1731">
        <v>0</v>
      </c>
      <c r="L1731">
        <v>8</v>
      </c>
      <c r="M1731">
        <v>8</v>
      </c>
      <c r="N1731">
        <v>0</v>
      </c>
      <c r="O1731">
        <v>0</v>
      </c>
      <c r="P1731">
        <v>58.4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3</v>
      </c>
      <c r="AA1731">
        <v>0</v>
      </c>
      <c r="AC1731">
        <v>61.4</v>
      </c>
    </row>
    <row r="1732" spans="1:29">
      <c r="A1732">
        <v>1725</v>
      </c>
      <c r="B1732">
        <v>4048</v>
      </c>
      <c r="C1732" t="s">
        <v>3855</v>
      </c>
      <c r="D1732" t="s">
        <v>145</v>
      </c>
      <c r="E1732" t="s">
        <v>18</v>
      </c>
      <c r="F1732" t="s">
        <v>3856</v>
      </c>
      <c r="G1732" t="str">
        <f>"00523790"</f>
        <v>00523790</v>
      </c>
      <c r="H1732">
        <v>50.4</v>
      </c>
      <c r="I1732">
        <v>0</v>
      </c>
      <c r="L1732">
        <v>4</v>
      </c>
      <c r="M1732">
        <v>4</v>
      </c>
      <c r="N1732">
        <v>4</v>
      </c>
      <c r="O1732">
        <v>0</v>
      </c>
      <c r="P1732">
        <v>58.4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3</v>
      </c>
      <c r="AA1732">
        <v>0</v>
      </c>
      <c r="AC1732">
        <v>61.4</v>
      </c>
    </row>
    <row r="1733" spans="1:29">
      <c r="A1733">
        <v>1726</v>
      </c>
      <c r="B1733">
        <v>4790</v>
      </c>
      <c r="C1733" t="s">
        <v>3848</v>
      </c>
      <c r="D1733" t="s">
        <v>164</v>
      </c>
      <c r="E1733" t="s">
        <v>337</v>
      </c>
      <c r="F1733" t="s">
        <v>3849</v>
      </c>
      <c r="G1733" t="str">
        <f>"00866016"</f>
        <v>00866016</v>
      </c>
      <c r="H1733">
        <v>50.4</v>
      </c>
      <c r="I1733">
        <v>0</v>
      </c>
      <c r="L1733">
        <v>4</v>
      </c>
      <c r="M1733">
        <v>4</v>
      </c>
      <c r="N1733">
        <v>4</v>
      </c>
      <c r="O1733">
        <v>0</v>
      </c>
      <c r="P1733">
        <v>58.4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3</v>
      </c>
      <c r="AA1733">
        <v>0</v>
      </c>
      <c r="AC1733">
        <v>61.4</v>
      </c>
    </row>
    <row r="1734" spans="1:29">
      <c r="A1734">
        <v>1727</v>
      </c>
      <c r="B1734">
        <v>3905</v>
      </c>
      <c r="C1734" t="s">
        <v>3846</v>
      </c>
      <c r="D1734" t="s">
        <v>27</v>
      </c>
      <c r="E1734" t="s">
        <v>60</v>
      </c>
      <c r="F1734" t="s">
        <v>3847</v>
      </c>
      <c r="G1734" t="str">
        <f>"00530039"</f>
        <v>00530039</v>
      </c>
      <c r="H1734">
        <v>50.4</v>
      </c>
      <c r="I1734">
        <v>0</v>
      </c>
      <c r="L1734">
        <v>4</v>
      </c>
      <c r="M1734">
        <v>4</v>
      </c>
      <c r="N1734">
        <v>4</v>
      </c>
      <c r="O1734">
        <v>0</v>
      </c>
      <c r="P1734">
        <v>58.4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3</v>
      </c>
      <c r="AA1734">
        <v>0</v>
      </c>
      <c r="AC1734">
        <v>61.4</v>
      </c>
    </row>
    <row r="1735" spans="1:29">
      <c r="A1735">
        <v>1728</v>
      </c>
      <c r="B1735">
        <v>247</v>
      </c>
      <c r="C1735" t="s">
        <v>3402</v>
      </c>
      <c r="D1735" t="s">
        <v>52</v>
      </c>
      <c r="E1735" t="s">
        <v>134</v>
      </c>
      <c r="F1735" t="s">
        <v>3857</v>
      </c>
      <c r="G1735" t="str">
        <f>"00428472"</f>
        <v>00428472</v>
      </c>
      <c r="H1735">
        <v>43.2</v>
      </c>
      <c r="I1735">
        <v>0</v>
      </c>
      <c r="J1735">
        <v>8</v>
      </c>
      <c r="M1735">
        <v>8</v>
      </c>
      <c r="N1735">
        <v>4</v>
      </c>
      <c r="O1735">
        <v>0</v>
      </c>
      <c r="P1735">
        <v>55.2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>
        <v>6</v>
      </c>
      <c r="AA1735">
        <v>0</v>
      </c>
      <c r="AC1735">
        <v>61.2</v>
      </c>
    </row>
    <row r="1736" spans="1:29">
      <c r="A1736">
        <v>1729</v>
      </c>
      <c r="B1736">
        <v>3449</v>
      </c>
      <c r="C1736" t="s">
        <v>3862</v>
      </c>
      <c r="D1736" t="s">
        <v>24</v>
      </c>
      <c r="E1736" t="s">
        <v>79</v>
      </c>
      <c r="F1736" t="s">
        <v>3863</v>
      </c>
      <c r="G1736" t="str">
        <f>"201510004754"</f>
        <v>201510004754</v>
      </c>
      <c r="H1736">
        <v>43.2</v>
      </c>
      <c r="I1736">
        <v>0</v>
      </c>
      <c r="L1736">
        <v>8</v>
      </c>
      <c r="M1736">
        <v>8</v>
      </c>
      <c r="N1736">
        <v>4</v>
      </c>
      <c r="O1736">
        <v>0</v>
      </c>
      <c r="P1736">
        <v>55.2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6</v>
      </c>
      <c r="AA1736">
        <v>0</v>
      </c>
      <c r="AC1736">
        <v>61.2</v>
      </c>
    </row>
    <row r="1737" spans="1:29">
      <c r="A1737">
        <v>1730</v>
      </c>
      <c r="B1737">
        <v>398</v>
      </c>
      <c r="C1737" t="s">
        <v>3860</v>
      </c>
      <c r="D1737" t="s">
        <v>27</v>
      </c>
      <c r="E1737" t="s">
        <v>18</v>
      </c>
      <c r="F1737" t="s">
        <v>3861</v>
      </c>
      <c r="G1737" t="str">
        <f>"00533420"</f>
        <v>00533420</v>
      </c>
      <c r="H1737">
        <v>43.2</v>
      </c>
      <c r="I1737">
        <v>0</v>
      </c>
      <c r="J1737">
        <v>8</v>
      </c>
      <c r="M1737">
        <v>8</v>
      </c>
      <c r="N1737">
        <v>4</v>
      </c>
      <c r="O1737">
        <v>0</v>
      </c>
      <c r="P1737">
        <v>55.2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6</v>
      </c>
      <c r="AA1737">
        <v>0</v>
      </c>
      <c r="AC1737">
        <v>61.2</v>
      </c>
    </row>
    <row r="1738" spans="1:29">
      <c r="A1738">
        <v>1731</v>
      </c>
      <c r="B1738">
        <v>1156</v>
      </c>
      <c r="C1738" t="s">
        <v>3858</v>
      </c>
      <c r="D1738" t="s">
        <v>1051</v>
      </c>
      <c r="E1738" t="s">
        <v>134</v>
      </c>
      <c r="F1738" t="s">
        <v>3859</v>
      </c>
      <c r="G1738" t="str">
        <f>"00382154"</f>
        <v>00382154</v>
      </c>
      <c r="H1738">
        <v>43.2</v>
      </c>
      <c r="I1738">
        <v>0</v>
      </c>
      <c r="L1738">
        <v>8</v>
      </c>
      <c r="M1738">
        <v>8</v>
      </c>
      <c r="N1738">
        <v>4</v>
      </c>
      <c r="O1738">
        <v>0</v>
      </c>
      <c r="P1738">
        <v>55.2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6</v>
      </c>
      <c r="AA1738">
        <v>0</v>
      </c>
      <c r="AC1738">
        <v>61.2</v>
      </c>
    </row>
    <row r="1739" spans="1:29">
      <c r="A1739">
        <v>1732</v>
      </c>
      <c r="B1739">
        <v>2329</v>
      </c>
      <c r="C1739" t="s">
        <v>3864</v>
      </c>
      <c r="D1739" t="s">
        <v>784</v>
      </c>
      <c r="E1739" t="s">
        <v>15</v>
      </c>
      <c r="F1739" t="s">
        <v>3865</v>
      </c>
      <c r="G1739" t="str">
        <f>"201511034760"</f>
        <v>201511034760</v>
      </c>
      <c r="H1739">
        <v>43.2</v>
      </c>
      <c r="I1739">
        <v>0</v>
      </c>
      <c r="J1739">
        <v>8</v>
      </c>
      <c r="M1739">
        <v>8</v>
      </c>
      <c r="N1739">
        <v>4</v>
      </c>
      <c r="O1739">
        <v>0</v>
      </c>
      <c r="P1739">
        <v>55.2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6</v>
      </c>
      <c r="AA1739">
        <v>0</v>
      </c>
      <c r="AC1739">
        <v>61.2</v>
      </c>
    </row>
    <row r="1740" spans="1:29">
      <c r="A1740">
        <v>1733</v>
      </c>
      <c r="B1740">
        <v>3137</v>
      </c>
      <c r="C1740" t="s">
        <v>3866</v>
      </c>
      <c r="D1740" t="s">
        <v>69</v>
      </c>
      <c r="E1740" t="s">
        <v>28</v>
      </c>
      <c r="F1740" t="s">
        <v>3867</v>
      </c>
      <c r="G1740" t="str">
        <f>"00700578"</f>
        <v>00700578</v>
      </c>
      <c r="H1740">
        <v>39.200000000000003</v>
      </c>
      <c r="I1740">
        <v>10</v>
      </c>
      <c r="M1740">
        <v>0</v>
      </c>
      <c r="N1740">
        <v>4</v>
      </c>
      <c r="O1740">
        <v>2</v>
      </c>
      <c r="P1740">
        <v>55.2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6</v>
      </c>
      <c r="AA1740">
        <v>0</v>
      </c>
      <c r="AC1740">
        <v>61.2</v>
      </c>
    </row>
    <row r="1741" spans="1:29">
      <c r="A1741">
        <v>1734</v>
      </c>
      <c r="B1741">
        <v>4365</v>
      </c>
      <c r="C1741" t="s">
        <v>762</v>
      </c>
      <c r="D1741" t="s">
        <v>167</v>
      </c>
      <c r="E1741" t="s">
        <v>745</v>
      </c>
      <c r="F1741" t="s">
        <v>3868</v>
      </c>
      <c r="G1741" t="str">
        <f>"00009458"</f>
        <v>00009458</v>
      </c>
      <c r="H1741">
        <v>23.2</v>
      </c>
      <c r="I1741">
        <v>0</v>
      </c>
      <c r="L1741">
        <v>4</v>
      </c>
      <c r="M1741">
        <v>4</v>
      </c>
      <c r="N1741">
        <v>4</v>
      </c>
      <c r="O1741">
        <v>2</v>
      </c>
      <c r="P1741">
        <v>33.200000000000003</v>
      </c>
      <c r="Q1741">
        <v>22</v>
      </c>
      <c r="R1741">
        <v>22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22</v>
      </c>
      <c r="Z1741">
        <v>6</v>
      </c>
      <c r="AA1741">
        <v>0</v>
      </c>
      <c r="AC1741">
        <v>61.2</v>
      </c>
    </row>
    <row r="1742" spans="1:29">
      <c r="A1742">
        <v>1735</v>
      </c>
      <c r="B1742">
        <v>2318</v>
      </c>
      <c r="C1742" t="s">
        <v>3869</v>
      </c>
      <c r="D1742" t="s">
        <v>95</v>
      </c>
      <c r="E1742" t="s">
        <v>3870</v>
      </c>
      <c r="F1742" t="s">
        <v>3871</v>
      </c>
      <c r="G1742" t="str">
        <f>"00534310"</f>
        <v>00534310</v>
      </c>
      <c r="H1742">
        <v>24</v>
      </c>
      <c r="I1742">
        <v>0</v>
      </c>
      <c r="J1742">
        <v>8</v>
      </c>
      <c r="M1742">
        <v>8</v>
      </c>
      <c r="N1742">
        <v>4</v>
      </c>
      <c r="O1742">
        <v>2</v>
      </c>
      <c r="P1742">
        <v>38</v>
      </c>
      <c r="Q1742">
        <v>17</v>
      </c>
      <c r="R1742">
        <v>17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17</v>
      </c>
      <c r="Z1742">
        <v>6</v>
      </c>
      <c r="AA1742">
        <v>0</v>
      </c>
      <c r="AC1742">
        <v>61</v>
      </c>
    </row>
    <row r="1743" spans="1:29">
      <c r="A1743">
        <v>1736</v>
      </c>
      <c r="B1743">
        <v>3232</v>
      </c>
      <c r="C1743" t="s">
        <v>3872</v>
      </c>
      <c r="D1743" t="s">
        <v>465</v>
      </c>
      <c r="E1743" t="s">
        <v>745</v>
      </c>
      <c r="F1743" t="s">
        <v>3873</v>
      </c>
      <c r="G1743" t="str">
        <f>"00502780"</f>
        <v>00502780</v>
      </c>
      <c r="H1743">
        <v>24</v>
      </c>
      <c r="I1743">
        <v>0</v>
      </c>
      <c r="M1743">
        <v>0</v>
      </c>
      <c r="N1743">
        <v>4</v>
      </c>
      <c r="O1743">
        <v>0</v>
      </c>
      <c r="P1743">
        <v>28</v>
      </c>
      <c r="Q1743">
        <v>27</v>
      </c>
      <c r="R1743">
        <v>27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27</v>
      </c>
      <c r="Z1743">
        <v>6</v>
      </c>
      <c r="AA1743">
        <v>0</v>
      </c>
      <c r="AC1743">
        <v>61</v>
      </c>
    </row>
    <row r="1744" spans="1:29">
      <c r="A1744">
        <v>1737</v>
      </c>
      <c r="B1744">
        <v>906</v>
      </c>
      <c r="C1744" t="s">
        <v>3877</v>
      </c>
      <c r="D1744" t="s">
        <v>336</v>
      </c>
      <c r="E1744" t="s">
        <v>36</v>
      </c>
      <c r="F1744" t="s">
        <v>3878</v>
      </c>
      <c r="G1744" t="str">
        <f>"00379074"</f>
        <v>00379074</v>
      </c>
      <c r="H1744">
        <v>40</v>
      </c>
      <c r="I1744">
        <v>10</v>
      </c>
      <c r="L1744">
        <v>4</v>
      </c>
      <c r="M1744">
        <v>4</v>
      </c>
      <c r="N1744">
        <v>4</v>
      </c>
      <c r="O1744">
        <v>0</v>
      </c>
      <c r="P1744">
        <v>58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3</v>
      </c>
      <c r="AA1744">
        <v>0</v>
      </c>
      <c r="AC1744">
        <v>61</v>
      </c>
    </row>
    <row r="1745" spans="1:29">
      <c r="A1745">
        <v>1738</v>
      </c>
      <c r="B1745">
        <v>3162</v>
      </c>
      <c r="C1745" t="s">
        <v>3874</v>
      </c>
      <c r="D1745" t="s">
        <v>3875</v>
      </c>
      <c r="E1745" t="s">
        <v>134</v>
      </c>
      <c r="F1745" t="s">
        <v>3876</v>
      </c>
      <c r="G1745" t="str">
        <f>"00552754"</f>
        <v>00552754</v>
      </c>
      <c r="H1745">
        <v>40</v>
      </c>
      <c r="I1745">
        <v>0</v>
      </c>
      <c r="K1745">
        <v>12</v>
      </c>
      <c r="M1745">
        <v>12</v>
      </c>
      <c r="N1745">
        <v>4</v>
      </c>
      <c r="O1745">
        <v>2</v>
      </c>
      <c r="P1745">
        <v>58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3</v>
      </c>
      <c r="AA1745">
        <v>0</v>
      </c>
      <c r="AC1745">
        <v>61</v>
      </c>
    </row>
    <row r="1746" spans="1:29">
      <c r="A1746">
        <v>1739</v>
      </c>
      <c r="B1746">
        <v>3795</v>
      </c>
      <c r="C1746" t="s">
        <v>3879</v>
      </c>
      <c r="D1746" t="s">
        <v>108</v>
      </c>
      <c r="E1746" t="s">
        <v>18</v>
      </c>
      <c r="F1746" t="s">
        <v>3880</v>
      </c>
      <c r="G1746" t="str">
        <f>"00039210"</f>
        <v>00039210</v>
      </c>
      <c r="H1746">
        <v>36</v>
      </c>
      <c r="I1746">
        <v>0</v>
      </c>
      <c r="J1746">
        <v>8</v>
      </c>
      <c r="M1746">
        <v>8</v>
      </c>
      <c r="N1746">
        <v>4</v>
      </c>
      <c r="O1746">
        <v>2</v>
      </c>
      <c r="P1746">
        <v>50</v>
      </c>
      <c r="Q1746">
        <v>8</v>
      </c>
      <c r="R1746">
        <v>8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8</v>
      </c>
      <c r="Z1746">
        <v>3</v>
      </c>
      <c r="AA1746">
        <v>0</v>
      </c>
      <c r="AC1746">
        <v>61</v>
      </c>
    </row>
    <row r="1747" spans="1:29">
      <c r="A1747">
        <v>1740</v>
      </c>
      <c r="B1747">
        <v>351</v>
      </c>
      <c r="C1747" t="s">
        <v>3881</v>
      </c>
      <c r="D1747" t="s">
        <v>3882</v>
      </c>
      <c r="E1747" t="s">
        <v>36</v>
      </c>
      <c r="F1747" t="s">
        <v>3883</v>
      </c>
      <c r="G1747" t="str">
        <f>"00162473"</f>
        <v>00162473</v>
      </c>
      <c r="H1747">
        <v>0</v>
      </c>
      <c r="I1747">
        <v>0</v>
      </c>
      <c r="M1747">
        <v>0</v>
      </c>
      <c r="N1747">
        <v>4</v>
      </c>
      <c r="O1747">
        <v>0</v>
      </c>
      <c r="P1747">
        <v>4</v>
      </c>
      <c r="Q1747">
        <v>57</v>
      </c>
      <c r="R1747">
        <v>57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57</v>
      </c>
      <c r="Z1747">
        <v>0</v>
      </c>
      <c r="AA1747">
        <v>0</v>
      </c>
      <c r="AC1747">
        <v>61</v>
      </c>
    </row>
    <row r="1748" spans="1:29">
      <c r="A1748">
        <v>1741</v>
      </c>
      <c r="B1748">
        <v>445</v>
      </c>
      <c r="C1748" t="s">
        <v>3884</v>
      </c>
      <c r="D1748" t="s">
        <v>314</v>
      </c>
      <c r="E1748" t="s">
        <v>1567</v>
      </c>
      <c r="F1748" t="s">
        <v>3885</v>
      </c>
      <c r="G1748" t="str">
        <f>"00269574"</f>
        <v>00269574</v>
      </c>
      <c r="H1748">
        <v>34.92</v>
      </c>
      <c r="I1748">
        <v>0</v>
      </c>
      <c r="L1748">
        <v>4</v>
      </c>
      <c r="M1748">
        <v>4</v>
      </c>
      <c r="N1748">
        <v>0</v>
      </c>
      <c r="O1748">
        <v>0</v>
      </c>
      <c r="P1748">
        <v>38.92</v>
      </c>
      <c r="Q1748">
        <v>16</v>
      </c>
      <c r="R1748">
        <v>16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16</v>
      </c>
      <c r="Z1748">
        <v>6</v>
      </c>
      <c r="AA1748">
        <v>0</v>
      </c>
      <c r="AC1748">
        <v>60.92</v>
      </c>
    </row>
    <row r="1749" spans="1:29">
      <c r="A1749">
        <v>1742</v>
      </c>
      <c r="B1749">
        <v>2754</v>
      </c>
      <c r="C1749" t="s">
        <v>3886</v>
      </c>
      <c r="D1749" t="s">
        <v>20</v>
      </c>
      <c r="E1749" t="s">
        <v>60</v>
      </c>
      <c r="F1749" t="s">
        <v>3887</v>
      </c>
      <c r="G1749" t="str">
        <f>"00200576"</f>
        <v>00200576</v>
      </c>
      <c r="H1749">
        <v>16.84</v>
      </c>
      <c r="I1749">
        <v>10</v>
      </c>
      <c r="L1749">
        <v>4</v>
      </c>
      <c r="M1749">
        <v>4</v>
      </c>
      <c r="N1749">
        <v>4</v>
      </c>
      <c r="O1749">
        <v>2</v>
      </c>
      <c r="P1749">
        <v>36.840000000000003</v>
      </c>
      <c r="Q1749">
        <v>18</v>
      </c>
      <c r="R1749">
        <v>18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18</v>
      </c>
      <c r="Z1749">
        <v>6</v>
      </c>
      <c r="AA1749">
        <v>0</v>
      </c>
      <c r="AC1749">
        <v>60.84</v>
      </c>
    </row>
    <row r="1750" spans="1:29">
      <c r="A1750">
        <v>1743</v>
      </c>
      <c r="B1750">
        <v>3916</v>
      </c>
      <c r="C1750" t="s">
        <v>3888</v>
      </c>
      <c r="D1750" t="s">
        <v>3889</v>
      </c>
      <c r="E1750" t="s">
        <v>77</v>
      </c>
      <c r="F1750" t="s">
        <v>3890</v>
      </c>
      <c r="G1750" t="str">
        <f>"00154529"</f>
        <v>00154529</v>
      </c>
      <c r="H1750">
        <v>28.8</v>
      </c>
      <c r="I1750">
        <v>0</v>
      </c>
      <c r="M1750">
        <v>0</v>
      </c>
      <c r="N1750">
        <v>4</v>
      </c>
      <c r="O1750">
        <v>0</v>
      </c>
      <c r="P1750">
        <v>32.799999999999997</v>
      </c>
      <c r="Q1750">
        <v>22</v>
      </c>
      <c r="R1750">
        <v>22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22</v>
      </c>
      <c r="Z1750">
        <v>6</v>
      </c>
      <c r="AA1750">
        <v>0</v>
      </c>
      <c r="AC1750">
        <v>60.8</v>
      </c>
    </row>
    <row r="1751" spans="1:29">
      <c r="A1751">
        <v>1744</v>
      </c>
      <c r="B1751">
        <v>1226</v>
      </c>
      <c r="C1751" t="s">
        <v>2422</v>
      </c>
      <c r="D1751" t="s">
        <v>3891</v>
      </c>
      <c r="E1751" t="s">
        <v>18</v>
      </c>
      <c r="F1751" t="s">
        <v>3892</v>
      </c>
      <c r="G1751" t="str">
        <f>"00480428"</f>
        <v>00480428</v>
      </c>
      <c r="H1751">
        <v>28.8</v>
      </c>
      <c r="I1751">
        <v>0</v>
      </c>
      <c r="J1751">
        <v>8</v>
      </c>
      <c r="M1751">
        <v>8</v>
      </c>
      <c r="N1751">
        <v>4</v>
      </c>
      <c r="O1751">
        <v>2</v>
      </c>
      <c r="P1751">
        <v>42.8</v>
      </c>
      <c r="Q1751">
        <v>18</v>
      </c>
      <c r="R1751">
        <v>18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18</v>
      </c>
      <c r="Z1751">
        <v>0</v>
      </c>
      <c r="AA1751">
        <v>0</v>
      </c>
      <c r="AC1751">
        <v>60.8</v>
      </c>
    </row>
    <row r="1752" spans="1:29">
      <c r="A1752">
        <v>1745</v>
      </c>
      <c r="B1752">
        <v>1698</v>
      </c>
      <c r="C1752" t="s">
        <v>3893</v>
      </c>
      <c r="D1752" t="s">
        <v>24</v>
      </c>
      <c r="E1752" t="s">
        <v>15</v>
      </c>
      <c r="F1752" t="s">
        <v>3894</v>
      </c>
      <c r="G1752" t="str">
        <f>"00519500"</f>
        <v>00519500</v>
      </c>
      <c r="H1752">
        <v>35.72</v>
      </c>
      <c r="I1752">
        <v>0</v>
      </c>
      <c r="M1752">
        <v>0</v>
      </c>
      <c r="N1752">
        <v>4</v>
      </c>
      <c r="O1752">
        <v>0</v>
      </c>
      <c r="P1752">
        <v>39.72</v>
      </c>
      <c r="Q1752">
        <v>15</v>
      </c>
      <c r="R1752">
        <v>15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15</v>
      </c>
      <c r="Z1752">
        <v>6</v>
      </c>
      <c r="AA1752">
        <v>0</v>
      </c>
      <c r="AC1752">
        <v>60.72</v>
      </c>
    </row>
    <row r="1753" spans="1:29">
      <c r="A1753">
        <v>1746</v>
      </c>
      <c r="B1753">
        <v>4630</v>
      </c>
      <c r="C1753" t="s">
        <v>3895</v>
      </c>
      <c r="D1753" t="s">
        <v>3896</v>
      </c>
      <c r="E1753" t="s">
        <v>79</v>
      </c>
      <c r="F1753" t="s">
        <v>3897</v>
      </c>
      <c r="G1753" t="str">
        <f>"00866181"</f>
        <v>00866181</v>
      </c>
      <c r="H1753">
        <v>21.6</v>
      </c>
      <c r="I1753">
        <v>0</v>
      </c>
      <c r="M1753">
        <v>0</v>
      </c>
      <c r="N1753">
        <v>4</v>
      </c>
      <c r="O1753">
        <v>0</v>
      </c>
      <c r="P1753">
        <v>25.6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3</v>
      </c>
      <c r="AA1753">
        <v>32</v>
      </c>
      <c r="AC1753">
        <v>60.6</v>
      </c>
    </row>
    <row r="1754" spans="1:29">
      <c r="A1754">
        <v>1747</v>
      </c>
      <c r="B1754">
        <v>2009</v>
      </c>
      <c r="C1754" t="s">
        <v>1430</v>
      </c>
      <c r="D1754" t="s">
        <v>159</v>
      </c>
      <c r="E1754" t="s">
        <v>134</v>
      </c>
      <c r="F1754" t="s">
        <v>3898</v>
      </c>
      <c r="G1754" t="str">
        <f>"00863008"</f>
        <v>00863008</v>
      </c>
      <c r="H1754">
        <v>39.6</v>
      </c>
      <c r="I1754">
        <v>0</v>
      </c>
      <c r="K1754">
        <v>6</v>
      </c>
      <c r="M1754">
        <v>6</v>
      </c>
      <c r="N1754">
        <v>4</v>
      </c>
      <c r="O1754">
        <v>2</v>
      </c>
      <c r="P1754">
        <v>51.6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9</v>
      </c>
      <c r="AA1754">
        <v>0</v>
      </c>
      <c r="AC1754">
        <v>60.6</v>
      </c>
    </row>
    <row r="1755" spans="1:29">
      <c r="A1755">
        <v>1748</v>
      </c>
      <c r="B1755">
        <v>3590</v>
      </c>
      <c r="C1755" t="s">
        <v>1298</v>
      </c>
      <c r="D1755" t="s">
        <v>164</v>
      </c>
      <c r="E1755" t="s">
        <v>79</v>
      </c>
      <c r="F1755" t="s">
        <v>3901</v>
      </c>
      <c r="G1755" t="str">
        <f>"00376354"</f>
        <v>00376354</v>
      </c>
      <c r="H1755">
        <v>39.6</v>
      </c>
      <c r="I1755">
        <v>0</v>
      </c>
      <c r="J1755">
        <v>8</v>
      </c>
      <c r="M1755">
        <v>8</v>
      </c>
      <c r="N1755">
        <v>4</v>
      </c>
      <c r="O1755">
        <v>0</v>
      </c>
      <c r="P1755">
        <v>51.6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9</v>
      </c>
      <c r="AA1755">
        <v>0</v>
      </c>
      <c r="AC1755">
        <v>60.6</v>
      </c>
    </row>
    <row r="1756" spans="1:29">
      <c r="A1756">
        <v>1749</v>
      </c>
      <c r="B1756">
        <v>2465</v>
      </c>
      <c r="C1756" t="s">
        <v>3899</v>
      </c>
      <c r="D1756" t="s">
        <v>27</v>
      </c>
      <c r="E1756" t="s">
        <v>15</v>
      </c>
      <c r="F1756" t="s">
        <v>3900</v>
      </c>
      <c r="G1756" t="str">
        <f>"201511021061"</f>
        <v>201511021061</v>
      </c>
      <c r="H1756">
        <v>39.6</v>
      </c>
      <c r="I1756">
        <v>0</v>
      </c>
      <c r="K1756">
        <v>6</v>
      </c>
      <c r="M1756">
        <v>6</v>
      </c>
      <c r="N1756">
        <v>4</v>
      </c>
      <c r="O1756">
        <v>2</v>
      </c>
      <c r="P1756">
        <v>51.6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9</v>
      </c>
      <c r="AA1756">
        <v>0</v>
      </c>
      <c r="AC1756">
        <v>60.6</v>
      </c>
    </row>
    <row r="1757" spans="1:29">
      <c r="A1757">
        <v>1750</v>
      </c>
      <c r="B1757">
        <v>3347</v>
      </c>
      <c r="C1757" t="s">
        <v>3904</v>
      </c>
      <c r="D1757" t="s">
        <v>3905</v>
      </c>
      <c r="E1757" t="s">
        <v>451</v>
      </c>
      <c r="F1757" t="s">
        <v>3906</v>
      </c>
      <c r="G1757" t="str">
        <f>"00441825"</f>
        <v>00441825</v>
      </c>
      <c r="H1757">
        <v>57.6</v>
      </c>
      <c r="I1757">
        <v>0</v>
      </c>
      <c r="M1757">
        <v>0</v>
      </c>
      <c r="N1757">
        <v>0</v>
      </c>
      <c r="O1757">
        <v>0</v>
      </c>
      <c r="P1757">
        <v>57.6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3</v>
      </c>
      <c r="AA1757">
        <v>0</v>
      </c>
      <c r="AC1757">
        <v>60.6</v>
      </c>
    </row>
    <row r="1758" spans="1:29">
      <c r="A1758">
        <v>1751</v>
      </c>
      <c r="B1758">
        <v>1935</v>
      </c>
      <c r="C1758" t="s">
        <v>3902</v>
      </c>
      <c r="D1758" t="s">
        <v>108</v>
      </c>
      <c r="E1758" t="s">
        <v>156</v>
      </c>
      <c r="F1758" t="s">
        <v>3903</v>
      </c>
      <c r="G1758" t="str">
        <f>"00522503"</f>
        <v>00522503</v>
      </c>
      <c r="H1758">
        <v>57.6</v>
      </c>
      <c r="I1758">
        <v>0</v>
      </c>
      <c r="M1758">
        <v>0</v>
      </c>
      <c r="N1758">
        <v>0</v>
      </c>
      <c r="O1758">
        <v>0</v>
      </c>
      <c r="P1758">
        <v>57.6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3</v>
      </c>
      <c r="AA1758">
        <v>0</v>
      </c>
      <c r="AC1758">
        <v>60.6</v>
      </c>
    </row>
    <row r="1759" spans="1:29">
      <c r="A1759">
        <v>1752</v>
      </c>
      <c r="B1759">
        <v>474</v>
      </c>
      <c r="C1759" t="s">
        <v>3907</v>
      </c>
      <c r="D1759" t="s">
        <v>3908</v>
      </c>
      <c r="E1759" t="s">
        <v>15</v>
      </c>
      <c r="F1759" t="s">
        <v>3909</v>
      </c>
      <c r="G1759" t="str">
        <f>"00521717"</f>
        <v>00521717</v>
      </c>
      <c r="H1759">
        <v>21.6</v>
      </c>
      <c r="I1759">
        <v>0</v>
      </c>
      <c r="J1759">
        <v>8</v>
      </c>
      <c r="M1759">
        <v>8</v>
      </c>
      <c r="N1759">
        <v>4</v>
      </c>
      <c r="O1759">
        <v>2</v>
      </c>
      <c r="P1759">
        <v>35.6</v>
      </c>
      <c r="Q1759">
        <v>15</v>
      </c>
      <c r="R1759">
        <v>15</v>
      </c>
      <c r="S1759">
        <v>0</v>
      </c>
      <c r="T1759">
        <v>0</v>
      </c>
      <c r="U1759">
        <v>7</v>
      </c>
      <c r="V1759">
        <v>10</v>
      </c>
      <c r="W1759">
        <v>0</v>
      </c>
      <c r="X1759">
        <v>0</v>
      </c>
      <c r="Y1759">
        <v>25</v>
      </c>
      <c r="Z1759">
        <v>0</v>
      </c>
      <c r="AA1759">
        <v>0</v>
      </c>
      <c r="AC1759">
        <v>60.6</v>
      </c>
    </row>
    <row r="1760" spans="1:29">
      <c r="A1760">
        <v>1753</v>
      </c>
      <c r="B1760">
        <v>1008</v>
      </c>
      <c r="C1760" t="s">
        <v>954</v>
      </c>
      <c r="D1760" t="s">
        <v>952</v>
      </c>
      <c r="E1760" t="s">
        <v>410</v>
      </c>
      <c r="F1760" t="s">
        <v>3910</v>
      </c>
      <c r="G1760" t="str">
        <f>"00482570"</f>
        <v>00482570</v>
      </c>
      <c r="H1760">
        <v>21.6</v>
      </c>
      <c r="I1760">
        <v>0</v>
      </c>
      <c r="L1760">
        <v>4</v>
      </c>
      <c r="M1760">
        <v>4</v>
      </c>
      <c r="N1760">
        <v>4</v>
      </c>
      <c r="O1760">
        <v>2</v>
      </c>
      <c r="P1760">
        <v>31.6</v>
      </c>
      <c r="Q1760">
        <v>29</v>
      </c>
      <c r="R1760">
        <v>29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29</v>
      </c>
      <c r="Z1760">
        <v>0</v>
      </c>
      <c r="AA1760">
        <v>0</v>
      </c>
      <c r="AC1760">
        <v>60.6</v>
      </c>
    </row>
    <row r="1761" spans="1:29">
      <c r="A1761">
        <v>1754</v>
      </c>
      <c r="B1761">
        <v>1942</v>
      </c>
      <c r="C1761" t="s">
        <v>3911</v>
      </c>
      <c r="D1761" t="s">
        <v>36</v>
      </c>
      <c r="E1761" t="s">
        <v>3912</v>
      </c>
      <c r="F1761" t="s">
        <v>3913</v>
      </c>
      <c r="G1761" t="str">
        <f>"00073295"</f>
        <v>00073295</v>
      </c>
      <c r="H1761">
        <v>35.56</v>
      </c>
      <c r="I1761">
        <v>10</v>
      </c>
      <c r="J1761">
        <v>8</v>
      </c>
      <c r="M1761">
        <v>8</v>
      </c>
      <c r="N1761">
        <v>4</v>
      </c>
      <c r="O1761">
        <v>0</v>
      </c>
      <c r="P1761">
        <v>57.56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3</v>
      </c>
      <c r="AA1761">
        <v>0</v>
      </c>
      <c r="AC1761">
        <v>60.56</v>
      </c>
    </row>
    <row r="1762" spans="1:29">
      <c r="A1762">
        <v>1755</v>
      </c>
      <c r="B1762">
        <v>2249</v>
      </c>
      <c r="C1762" t="s">
        <v>3914</v>
      </c>
      <c r="D1762" t="s">
        <v>108</v>
      </c>
      <c r="E1762" t="s">
        <v>79</v>
      </c>
      <c r="F1762" t="s">
        <v>3915</v>
      </c>
      <c r="G1762" t="str">
        <f>"00441635"</f>
        <v>00441635</v>
      </c>
      <c r="H1762">
        <v>28.8</v>
      </c>
      <c r="I1762">
        <v>0</v>
      </c>
      <c r="M1762">
        <v>0</v>
      </c>
      <c r="N1762">
        <v>4</v>
      </c>
      <c r="O1762">
        <v>0</v>
      </c>
      <c r="P1762">
        <v>32.799999999999997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27.6</v>
      </c>
      <c r="AC1762">
        <v>60.4</v>
      </c>
    </row>
    <row r="1763" spans="1:29">
      <c r="A1763">
        <v>1756</v>
      </c>
      <c r="B1763">
        <v>3952</v>
      </c>
      <c r="C1763" t="s">
        <v>3919</v>
      </c>
      <c r="D1763" t="s">
        <v>24</v>
      </c>
      <c r="E1763" t="s">
        <v>15</v>
      </c>
      <c r="F1763" t="s">
        <v>3920</v>
      </c>
      <c r="G1763" t="str">
        <f>"00859557"</f>
        <v>00859557</v>
      </c>
      <c r="H1763">
        <v>50.4</v>
      </c>
      <c r="I1763">
        <v>0</v>
      </c>
      <c r="M1763">
        <v>0</v>
      </c>
      <c r="N1763">
        <v>4</v>
      </c>
      <c r="O1763">
        <v>0</v>
      </c>
      <c r="P1763">
        <v>54.4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6</v>
      </c>
      <c r="AA1763">
        <v>0</v>
      </c>
      <c r="AC1763">
        <v>60.4</v>
      </c>
    </row>
    <row r="1764" spans="1:29">
      <c r="A1764">
        <v>1757</v>
      </c>
      <c r="B1764">
        <v>4588</v>
      </c>
      <c r="C1764" t="s">
        <v>3916</v>
      </c>
      <c r="D1764" t="s">
        <v>3917</v>
      </c>
      <c r="E1764" t="s">
        <v>79</v>
      </c>
      <c r="F1764" t="s">
        <v>3918</v>
      </c>
      <c r="G1764" t="str">
        <f>"00526151"</f>
        <v>00526151</v>
      </c>
      <c r="H1764">
        <v>50.4</v>
      </c>
      <c r="I1764">
        <v>0</v>
      </c>
      <c r="M1764">
        <v>0</v>
      </c>
      <c r="N1764">
        <v>4</v>
      </c>
      <c r="O1764">
        <v>0</v>
      </c>
      <c r="P1764">
        <v>54.4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6</v>
      </c>
      <c r="AA1764">
        <v>0</v>
      </c>
      <c r="AC1764">
        <v>60.4</v>
      </c>
    </row>
    <row r="1765" spans="1:29">
      <c r="A1765">
        <v>1758</v>
      </c>
      <c r="B1765">
        <v>4102</v>
      </c>
      <c r="C1765" t="s">
        <v>3921</v>
      </c>
      <c r="D1765" t="s">
        <v>205</v>
      </c>
      <c r="E1765" t="s">
        <v>15</v>
      </c>
      <c r="F1765" t="s">
        <v>3922</v>
      </c>
      <c r="G1765" t="str">
        <f>"00865216"</f>
        <v>00865216</v>
      </c>
      <c r="H1765">
        <v>50.4</v>
      </c>
      <c r="I1765">
        <v>0</v>
      </c>
      <c r="L1765">
        <v>4</v>
      </c>
      <c r="M1765">
        <v>4</v>
      </c>
      <c r="N1765">
        <v>0</v>
      </c>
      <c r="O1765">
        <v>0</v>
      </c>
      <c r="P1765">
        <v>54.4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6</v>
      </c>
      <c r="AA1765">
        <v>0</v>
      </c>
      <c r="AC1765">
        <v>60.4</v>
      </c>
    </row>
    <row r="1766" spans="1:29">
      <c r="A1766">
        <v>1759</v>
      </c>
      <c r="B1766">
        <v>905</v>
      </c>
      <c r="C1766" t="s">
        <v>368</v>
      </c>
      <c r="D1766" t="s">
        <v>164</v>
      </c>
      <c r="E1766" t="s">
        <v>369</v>
      </c>
      <c r="F1766" t="s">
        <v>3944</v>
      </c>
      <c r="G1766" t="str">
        <f>"201502000436"</f>
        <v>201502000436</v>
      </c>
      <c r="H1766">
        <v>50.4</v>
      </c>
      <c r="I1766">
        <v>0</v>
      </c>
      <c r="L1766">
        <v>4</v>
      </c>
      <c r="M1766">
        <v>4</v>
      </c>
      <c r="N1766">
        <v>4</v>
      </c>
      <c r="O1766">
        <v>2</v>
      </c>
      <c r="P1766">
        <v>60.4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C1766">
        <v>60.4</v>
      </c>
    </row>
    <row r="1767" spans="1:29">
      <c r="A1767">
        <v>1760</v>
      </c>
      <c r="B1767">
        <v>1461</v>
      </c>
      <c r="C1767" t="s">
        <v>3929</v>
      </c>
      <c r="D1767" t="s">
        <v>185</v>
      </c>
      <c r="E1767" t="s">
        <v>15</v>
      </c>
      <c r="F1767" t="s">
        <v>3930</v>
      </c>
      <c r="G1767" t="str">
        <f>"00858054"</f>
        <v>00858054</v>
      </c>
      <c r="H1767">
        <v>50.4</v>
      </c>
      <c r="I1767">
        <v>0</v>
      </c>
      <c r="L1767">
        <v>4</v>
      </c>
      <c r="M1767">
        <v>4</v>
      </c>
      <c r="N1767">
        <v>4</v>
      </c>
      <c r="O1767">
        <v>2</v>
      </c>
      <c r="P1767">
        <v>60.4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C1767">
        <v>60.4</v>
      </c>
    </row>
    <row r="1768" spans="1:29">
      <c r="A1768">
        <v>1761</v>
      </c>
      <c r="B1768">
        <v>694</v>
      </c>
      <c r="C1768" t="s">
        <v>3940</v>
      </c>
      <c r="D1768" t="s">
        <v>39</v>
      </c>
      <c r="E1768" t="s">
        <v>564</v>
      </c>
      <c r="F1768" t="s">
        <v>3941</v>
      </c>
      <c r="G1768" t="str">
        <f>"00804806"</f>
        <v>00804806</v>
      </c>
      <c r="H1768">
        <v>50.4</v>
      </c>
      <c r="I1768">
        <v>0</v>
      </c>
      <c r="J1768">
        <v>8</v>
      </c>
      <c r="M1768">
        <v>8</v>
      </c>
      <c r="N1768">
        <v>0</v>
      </c>
      <c r="O1768">
        <v>2</v>
      </c>
      <c r="P1768">
        <v>60.4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0</v>
      </c>
      <c r="AC1768">
        <v>60.4</v>
      </c>
    </row>
    <row r="1769" spans="1:29">
      <c r="A1769">
        <v>1762</v>
      </c>
      <c r="B1769">
        <v>3219</v>
      </c>
      <c r="C1769" t="s">
        <v>3927</v>
      </c>
      <c r="D1769" t="s">
        <v>86</v>
      </c>
      <c r="E1769" t="s">
        <v>18</v>
      </c>
      <c r="F1769" t="s">
        <v>3928</v>
      </c>
      <c r="G1769" t="str">
        <f>"00863182"</f>
        <v>00863182</v>
      </c>
      <c r="H1769">
        <v>50.4</v>
      </c>
      <c r="I1769">
        <v>0</v>
      </c>
      <c r="L1769">
        <v>4</v>
      </c>
      <c r="M1769">
        <v>4</v>
      </c>
      <c r="N1769">
        <v>4</v>
      </c>
      <c r="O1769">
        <v>2</v>
      </c>
      <c r="P1769">
        <v>60.4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0</v>
      </c>
      <c r="AC1769">
        <v>60.4</v>
      </c>
    </row>
    <row r="1770" spans="1:29">
      <c r="A1770">
        <v>1763</v>
      </c>
      <c r="B1770">
        <v>3589</v>
      </c>
      <c r="C1770" t="s">
        <v>3936</v>
      </c>
      <c r="D1770" t="s">
        <v>3937</v>
      </c>
      <c r="E1770" t="s">
        <v>3938</v>
      </c>
      <c r="F1770" t="s">
        <v>3939</v>
      </c>
      <c r="G1770" t="str">
        <f>"00865249"</f>
        <v>00865249</v>
      </c>
      <c r="H1770">
        <v>50.4</v>
      </c>
      <c r="I1770">
        <v>10</v>
      </c>
      <c r="M1770">
        <v>0</v>
      </c>
      <c r="N1770">
        <v>0</v>
      </c>
      <c r="O1770">
        <v>0</v>
      </c>
      <c r="P1770">
        <v>60.4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C1770">
        <v>60.4</v>
      </c>
    </row>
    <row r="1771" spans="1:29">
      <c r="A1771">
        <v>1764</v>
      </c>
      <c r="B1771">
        <v>3487</v>
      </c>
      <c r="C1771" t="s">
        <v>3942</v>
      </c>
      <c r="D1771" t="s">
        <v>1653</v>
      </c>
      <c r="E1771" t="s">
        <v>15</v>
      </c>
      <c r="F1771" t="s">
        <v>3943</v>
      </c>
      <c r="G1771" t="str">
        <f>"00572719"</f>
        <v>00572719</v>
      </c>
      <c r="H1771">
        <v>50.4</v>
      </c>
      <c r="I1771">
        <v>0</v>
      </c>
      <c r="L1771">
        <v>4</v>
      </c>
      <c r="M1771">
        <v>4</v>
      </c>
      <c r="N1771">
        <v>4</v>
      </c>
      <c r="O1771">
        <v>2</v>
      </c>
      <c r="P1771">
        <v>60.4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C1771">
        <v>60.4</v>
      </c>
    </row>
    <row r="1772" spans="1:29">
      <c r="A1772">
        <v>1765</v>
      </c>
      <c r="B1772">
        <v>1766</v>
      </c>
      <c r="C1772" t="s">
        <v>3934</v>
      </c>
      <c r="D1772" t="s">
        <v>31</v>
      </c>
      <c r="E1772" t="s">
        <v>134</v>
      </c>
      <c r="F1772" t="s">
        <v>3935</v>
      </c>
      <c r="G1772" t="str">
        <f>"00559354"</f>
        <v>00559354</v>
      </c>
      <c r="H1772">
        <v>50.4</v>
      </c>
      <c r="I1772">
        <v>10</v>
      </c>
      <c r="M1772">
        <v>0</v>
      </c>
      <c r="N1772">
        <v>0</v>
      </c>
      <c r="O1772">
        <v>0</v>
      </c>
      <c r="P1772">
        <v>60.4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C1772">
        <v>60.4</v>
      </c>
    </row>
    <row r="1773" spans="1:29">
      <c r="A1773">
        <v>1766</v>
      </c>
      <c r="B1773">
        <v>565</v>
      </c>
      <c r="C1773" t="s">
        <v>3931</v>
      </c>
      <c r="D1773" t="s">
        <v>510</v>
      </c>
      <c r="E1773" t="s">
        <v>3932</v>
      </c>
      <c r="F1773" t="s">
        <v>3933</v>
      </c>
      <c r="G1773" t="str">
        <f>"201511035752"</f>
        <v>201511035752</v>
      </c>
      <c r="H1773">
        <v>50.4</v>
      </c>
      <c r="I1773">
        <v>0</v>
      </c>
      <c r="L1773">
        <v>4</v>
      </c>
      <c r="M1773">
        <v>4</v>
      </c>
      <c r="N1773">
        <v>4</v>
      </c>
      <c r="O1773">
        <v>2</v>
      </c>
      <c r="P1773">
        <v>60.4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C1773">
        <v>60.4</v>
      </c>
    </row>
    <row r="1774" spans="1:29">
      <c r="A1774">
        <v>1767</v>
      </c>
      <c r="B1774">
        <v>1031</v>
      </c>
      <c r="C1774" t="s">
        <v>3923</v>
      </c>
      <c r="D1774" t="s">
        <v>31</v>
      </c>
      <c r="E1774" t="s">
        <v>304</v>
      </c>
      <c r="F1774" t="s">
        <v>3924</v>
      </c>
      <c r="G1774" t="str">
        <f>"00114615"</f>
        <v>00114615</v>
      </c>
      <c r="H1774">
        <v>50.4</v>
      </c>
      <c r="I1774">
        <v>0</v>
      </c>
      <c r="L1774">
        <v>4</v>
      </c>
      <c r="M1774">
        <v>4</v>
      </c>
      <c r="N1774">
        <v>4</v>
      </c>
      <c r="O1774">
        <v>2</v>
      </c>
      <c r="P1774">
        <v>60.4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C1774">
        <v>60.4</v>
      </c>
    </row>
    <row r="1775" spans="1:29">
      <c r="A1775">
        <v>1768</v>
      </c>
      <c r="B1775">
        <v>996</v>
      </c>
      <c r="C1775" t="s">
        <v>3925</v>
      </c>
      <c r="D1775" t="s">
        <v>27</v>
      </c>
      <c r="E1775" t="s">
        <v>436</v>
      </c>
      <c r="F1775" t="s">
        <v>3926</v>
      </c>
      <c r="G1775" t="str">
        <f>"00198919"</f>
        <v>00198919</v>
      </c>
      <c r="H1775">
        <v>50.4</v>
      </c>
      <c r="I1775">
        <v>0</v>
      </c>
      <c r="L1775">
        <v>4</v>
      </c>
      <c r="M1775">
        <v>4</v>
      </c>
      <c r="N1775">
        <v>4</v>
      </c>
      <c r="O1775">
        <v>2</v>
      </c>
      <c r="P1775">
        <v>60.4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C1775">
        <v>60.4</v>
      </c>
    </row>
    <row r="1776" spans="1:29">
      <c r="A1776">
        <v>1769</v>
      </c>
      <c r="B1776">
        <v>3127</v>
      </c>
      <c r="C1776" t="s">
        <v>714</v>
      </c>
      <c r="D1776" t="s">
        <v>86</v>
      </c>
      <c r="E1776" t="s">
        <v>322</v>
      </c>
      <c r="F1776" t="s">
        <v>3945</v>
      </c>
      <c r="G1776" t="str">
        <f>"00530528"</f>
        <v>00530528</v>
      </c>
      <c r="H1776">
        <v>29.32</v>
      </c>
      <c r="I1776">
        <v>0</v>
      </c>
      <c r="M1776">
        <v>0</v>
      </c>
      <c r="N1776">
        <v>4</v>
      </c>
      <c r="O1776">
        <v>2</v>
      </c>
      <c r="P1776">
        <v>35.32</v>
      </c>
      <c r="Q1776">
        <v>16</v>
      </c>
      <c r="R1776">
        <v>16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16</v>
      </c>
      <c r="Z1776">
        <v>9</v>
      </c>
      <c r="AA1776">
        <v>0</v>
      </c>
      <c r="AC1776">
        <v>60.32</v>
      </c>
    </row>
    <row r="1777" spans="1:29">
      <c r="A1777">
        <v>1770</v>
      </c>
      <c r="B1777">
        <v>823</v>
      </c>
      <c r="C1777" t="s">
        <v>1952</v>
      </c>
      <c r="D1777" t="s">
        <v>2407</v>
      </c>
      <c r="E1777" t="s">
        <v>18</v>
      </c>
      <c r="F1777" t="s">
        <v>3946</v>
      </c>
      <c r="G1777" t="str">
        <f>"00469431"</f>
        <v>00469431</v>
      </c>
      <c r="H1777">
        <v>7.2</v>
      </c>
      <c r="I1777">
        <v>10</v>
      </c>
      <c r="M1777">
        <v>0</v>
      </c>
      <c r="N1777">
        <v>4</v>
      </c>
      <c r="O1777">
        <v>2</v>
      </c>
      <c r="P1777">
        <v>23.2</v>
      </c>
      <c r="Q1777">
        <v>34</v>
      </c>
      <c r="R1777">
        <v>34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34</v>
      </c>
      <c r="Z1777">
        <v>3</v>
      </c>
      <c r="AA1777">
        <v>0</v>
      </c>
      <c r="AC1777">
        <v>60.2</v>
      </c>
    </row>
    <row r="1778" spans="1:29">
      <c r="A1778">
        <v>1771</v>
      </c>
      <c r="B1778">
        <v>2124</v>
      </c>
      <c r="C1778" t="s">
        <v>3947</v>
      </c>
      <c r="D1778" t="s">
        <v>52</v>
      </c>
      <c r="E1778" t="s">
        <v>15</v>
      </c>
      <c r="F1778" t="s">
        <v>3948</v>
      </c>
      <c r="G1778" t="str">
        <f>"00531975"</f>
        <v>00531975</v>
      </c>
      <c r="H1778">
        <v>43.2</v>
      </c>
      <c r="I1778">
        <v>0</v>
      </c>
      <c r="K1778">
        <v>6</v>
      </c>
      <c r="M1778">
        <v>6</v>
      </c>
      <c r="N1778">
        <v>0</v>
      </c>
      <c r="O1778">
        <v>0</v>
      </c>
      <c r="P1778">
        <v>49.2</v>
      </c>
      <c r="Q1778">
        <v>11</v>
      </c>
      <c r="R1778">
        <v>11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11</v>
      </c>
      <c r="Z1778">
        <v>0</v>
      </c>
      <c r="AA1778">
        <v>0</v>
      </c>
      <c r="AC1778">
        <v>60.2</v>
      </c>
    </row>
    <row r="1779" spans="1:29">
      <c r="A1779">
        <v>1772</v>
      </c>
      <c r="B1779">
        <v>237</v>
      </c>
      <c r="C1779" t="s">
        <v>1556</v>
      </c>
      <c r="D1779" t="s">
        <v>52</v>
      </c>
      <c r="E1779" t="s">
        <v>233</v>
      </c>
      <c r="F1779" t="s">
        <v>3949</v>
      </c>
      <c r="G1779" t="str">
        <f>"00118410"</f>
        <v>00118410</v>
      </c>
      <c r="H1779">
        <v>31.16</v>
      </c>
      <c r="I1779">
        <v>0</v>
      </c>
      <c r="M1779">
        <v>0</v>
      </c>
      <c r="N1779">
        <v>0</v>
      </c>
      <c r="O1779">
        <v>2</v>
      </c>
      <c r="P1779">
        <v>33.159999999999997</v>
      </c>
      <c r="Q1779">
        <v>24</v>
      </c>
      <c r="R1779">
        <v>24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24</v>
      </c>
      <c r="Z1779">
        <v>3</v>
      </c>
      <c r="AA1779">
        <v>0</v>
      </c>
      <c r="AC1779">
        <v>60.16</v>
      </c>
    </row>
    <row r="1780" spans="1:29">
      <c r="A1780">
        <v>1773</v>
      </c>
      <c r="B1780">
        <v>369</v>
      </c>
      <c r="C1780" t="s">
        <v>3950</v>
      </c>
      <c r="D1780" t="s">
        <v>510</v>
      </c>
      <c r="E1780" t="s">
        <v>134</v>
      </c>
      <c r="F1780" t="s">
        <v>3951</v>
      </c>
      <c r="G1780" t="str">
        <f>"201401002638"</f>
        <v>201401002638</v>
      </c>
      <c r="H1780">
        <v>40</v>
      </c>
      <c r="I1780">
        <v>0</v>
      </c>
      <c r="J1780">
        <v>8</v>
      </c>
      <c r="M1780">
        <v>8</v>
      </c>
      <c r="N1780">
        <v>4</v>
      </c>
      <c r="O1780">
        <v>2</v>
      </c>
      <c r="P1780">
        <v>54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6</v>
      </c>
      <c r="AA1780">
        <v>0</v>
      </c>
      <c r="AC1780">
        <v>60</v>
      </c>
    </row>
    <row r="1781" spans="1:29">
      <c r="A1781">
        <v>1774</v>
      </c>
      <c r="B1781">
        <v>489</v>
      </c>
      <c r="C1781" t="s">
        <v>3953</v>
      </c>
      <c r="D1781" t="s">
        <v>3954</v>
      </c>
      <c r="E1781" t="s">
        <v>36</v>
      </c>
      <c r="F1781" t="s">
        <v>3955</v>
      </c>
      <c r="G1781" t="str">
        <f>"00002558"</f>
        <v>00002558</v>
      </c>
      <c r="H1781">
        <v>40</v>
      </c>
      <c r="I1781">
        <v>0</v>
      </c>
      <c r="J1781">
        <v>8</v>
      </c>
      <c r="M1781">
        <v>8</v>
      </c>
      <c r="N1781">
        <v>4</v>
      </c>
      <c r="O1781">
        <v>2</v>
      </c>
      <c r="P1781">
        <v>54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6</v>
      </c>
      <c r="AA1781">
        <v>0</v>
      </c>
      <c r="AC1781">
        <v>60</v>
      </c>
    </row>
    <row r="1782" spans="1:29">
      <c r="A1782">
        <v>1775</v>
      </c>
      <c r="B1782">
        <v>3490</v>
      </c>
      <c r="C1782" t="s">
        <v>1056</v>
      </c>
      <c r="D1782" t="s">
        <v>164</v>
      </c>
      <c r="E1782" t="s">
        <v>66</v>
      </c>
      <c r="F1782" t="s">
        <v>3952</v>
      </c>
      <c r="G1782" t="str">
        <f>"201508000249"</f>
        <v>201508000249</v>
      </c>
      <c r="H1782">
        <v>40</v>
      </c>
      <c r="I1782">
        <v>10</v>
      </c>
      <c r="M1782">
        <v>0</v>
      </c>
      <c r="N1782">
        <v>4</v>
      </c>
      <c r="O1782">
        <v>0</v>
      </c>
      <c r="P1782">
        <v>54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6</v>
      </c>
      <c r="AA1782">
        <v>0</v>
      </c>
      <c r="AC1782">
        <v>60</v>
      </c>
    </row>
    <row r="1783" spans="1:29">
      <c r="A1783">
        <v>1776</v>
      </c>
      <c r="B1783">
        <v>1551</v>
      </c>
      <c r="C1783" t="s">
        <v>3209</v>
      </c>
      <c r="D1783" t="s">
        <v>20</v>
      </c>
      <c r="E1783" t="s">
        <v>36</v>
      </c>
      <c r="F1783" t="s">
        <v>3956</v>
      </c>
      <c r="G1783" t="str">
        <f>"00295951"</f>
        <v>00295951</v>
      </c>
      <c r="H1783">
        <v>28</v>
      </c>
      <c r="I1783">
        <v>10</v>
      </c>
      <c r="K1783">
        <v>6</v>
      </c>
      <c r="L1783">
        <v>4</v>
      </c>
      <c r="M1783">
        <v>10</v>
      </c>
      <c r="N1783">
        <v>4</v>
      </c>
      <c r="O1783">
        <v>2</v>
      </c>
      <c r="P1783">
        <v>54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6</v>
      </c>
      <c r="AA1783">
        <v>0</v>
      </c>
      <c r="AC1783">
        <v>60</v>
      </c>
    </row>
    <row r="1784" spans="1:29">
      <c r="A1784">
        <v>1777</v>
      </c>
      <c r="B1784">
        <v>73</v>
      </c>
      <c r="C1784" t="s">
        <v>3957</v>
      </c>
      <c r="D1784" t="s">
        <v>141</v>
      </c>
      <c r="E1784" t="s">
        <v>777</v>
      </c>
      <c r="F1784" t="s">
        <v>3958</v>
      </c>
      <c r="G1784" t="str">
        <f>"00442231"</f>
        <v>00442231</v>
      </c>
      <c r="H1784">
        <v>0</v>
      </c>
      <c r="I1784">
        <v>0</v>
      </c>
      <c r="M1784">
        <v>0</v>
      </c>
      <c r="N1784">
        <v>0</v>
      </c>
      <c r="O1784">
        <v>0</v>
      </c>
      <c r="P1784">
        <v>0</v>
      </c>
      <c r="Q1784">
        <v>54</v>
      </c>
      <c r="R1784">
        <v>54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54</v>
      </c>
      <c r="Z1784">
        <v>6</v>
      </c>
      <c r="AA1784">
        <v>0</v>
      </c>
      <c r="AC1784">
        <v>60</v>
      </c>
    </row>
    <row r="1785" spans="1:29">
      <c r="A1785">
        <v>1778</v>
      </c>
      <c r="B1785">
        <v>4968</v>
      </c>
      <c r="C1785" t="s">
        <v>3962</v>
      </c>
      <c r="D1785" t="s">
        <v>98</v>
      </c>
      <c r="E1785" t="s">
        <v>2001</v>
      </c>
      <c r="F1785" t="s">
        <v>3963</v>
      </c>
      <c r="G1785" t="str">
        <f>"00524055"</f>
        <v>00524055</v>
      </c>
      <c r="H1785">
        <v>40</v>
      </c>
      <c r="I1785">
        <v>10</v>
      </c>
      <c r="K1785">
        <v>6</v>
      </c>
      <c r="M1785">
        <v>6</v>
      </c>
      <c r="N1785">
        <v>4</v>
      </c>
      <c r="O1785">
        <v>0</v>
      </c>
      <c r="P1785">
        <v>60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C1785">
        <v>60</v>
      </c>
    </row>
    <row r="1786" spans="1:29">
      <c r="A1786">
        <v>1779</v>
      </c>
      <c r="B1786">
        <v>859</v>
      </c>
      <c r="C1786" t="s">
        <v>3964</v>
      </c>
      <c r="D1786" t="s">
        <v>175</v>
      </c>
      <c r="E1786" t="s">
        <v>36</v>
      </c>
      <c r="F1786" t="s">
        <v>3965</v>
      </c>
      <c r="G1786" t="str">
        <f>"00349158"</f>
        <v>00349158</v>
      </c>
      <c r="H1786">
        <v>40</v>
      </c>
      <c r="I1786">
        <v>10</v>
      </c>
      <c r="L1786">
        <v>4</v>
      </c>
      <c r="M1786">
        <v>4</v>
      </c>
      <c r="N1786">
        <v>4</v>
      </c>
      <c r="O1786">
        <v>2</v>
      </c>
      <c r="P1786">
        <v>60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C1786">
        <v>60</v>
      </c>
    </row>
    <row r="1787" spans="1:29">
      <c r="A1787">
        <v>1780</v>
      </c>
      <c r="B1787">
        <v>1701</v>
      </c>
      <c r="C1787" t="s">
        <v>3959</v>
      </c>
      <c r="D1787" t="s">
        <v>3960</v>
      </c>
      <c r="E1787" t="s">
        <v>227</v>
      </c>
      <c r="F1787" t="s">
        <v>3961</v>
      </c>
      <c r="G1787" t="str">
        <f>"00560019"</f>
        <v>00560019</v>
      </c>
      <c r="H1787">
        <v>40</v>
      </c>
      <c r="I1787">
        <v>10</v>
      </c>
      <c r="L1787">
        <v>4</v>
      </c>
      <c r="M1787">
        <v>4</v>
      </c>
      <c r="N1787">
        <v>4</v>
      </c>
      <c r="O1787">
        <v>2</v>
      </c>
      <c r="P1787">
        <v>60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C1787">
        <v>60</v>
      </c>
    </row>
    <row r="1788" spans="1:29">
      <c r="A1788">
        <v>1781</v>
      </c>
      <c r="B1788">
        <v>2378</v>
      </c>
      <c r="C1788" t="s">
        <v>3966</v>
      </c>
      <c r="D1788" t="s">
        <v>39</v>
      </c>
      <c r="E1788" t="s">
        <v>134</v>
      </c>
      <c r="F1788" t="s">
        <v>3967</v>
      </c>
      <c r="G1788" t="str">
        <f>"00533611"</f>
        <v>00533611</v>
      </c>
      <c r="H1788">
        <v>36</v>
      </c>
      <c r="I1788">
        <v>10</v>
      </c>
      <c r="L1788">
        <v>8</v>
      </c>
      <c r="M1788">
        <v>8</v>
      </c>
      <c r="N1788">
        <v>4</v>
      </c>
      <c r="O1788">
        <v>2</v>
      </c>
      <c r="P1788">
        <v>60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0</v>
      </c>
      <c r="AC1788">
        <v>60</v>
      </c>
    </row>
    <row r="1789" spans="1:29">
      <c r="A1789">
        <v>1782</v>
      </c>
      <c r="B1789">
        <v>4711</v>
      </c>
      <c r="C1789" t="s">
        <v>3968</v>
      </c>
      <c r="D1789" t="s">
        <v>167</v>
      </c>
      <c r="E1789" t="s">
        <v>436</v>
      </c>
      <c r="F1789" t="s">
        <v>3969</v>
      </c>
      <c r="G1789" t="str">
        <f>"00865698"</f>
        <v>00865698</v>
      </c>
      <c r="H1789">
        <v>36</v>
      </c>
      <c r="I1789">
        <v>10</v>
      </c>
      <c r="K1789">
        <v>6</v>
      </c>
      <c r="L1789">
        <v>4</v>
      </c>
      <c r="M1789">
        <v>10</v>
      </c>
      <c r="N1789">
        <v>4</v>
      </c>
      <c r="O1789">
        <v>0</v>
      </c>
      <c r="P1789">
        <v>60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C1789">
        <v>60</v>
      </c>
    </row>
    <row r="1790" spans="1:29">
      <c r="A1790">
        <v>1783</v>
      </c>
      <c r="B1790">
        <v>1413</v>
      </c>
      <c r="C1790" t="s">
        <v>3374</v>
      </c>
      <c r="D1790" t="s">
        <v>3970</v>
      </c>
      <c r="E1790" t="s">
        <v>165</v>
      </c>
      <c r="F1790" t="s">
        <v>3971</v>
      </c>
      <c r="G1790" t="str">
        <f>"00507547"</f>
        <v>00507547</v>
      </c>
      <c r="H1790">
        <v>40</v>
      </c>
      <c r="I1790">
        <v>0</v>
      </c>
      <c r="K1790">
        <v>6</v>
      </c>
      <c r="M1790">
        <v>6</v>
      </c>
      <c r="N1790">
        <v>4</v>
      </c>
      <c r="O1790">
        <v>2</v>
      </c>
      <c r="P1790">
        <v>52</v>
      </c>
      <c r="Q1790">
        <v>8</v>
      </c>
      <c r="R1790">
        <v>8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8</v>
      </c>
      <c r="Z1790">
        <v>0</v>
      </c>
      <c r="AA1790">
        <v>0</v>
      </c>
      <c r="AC1790">
        <v>60</v>
      </c>
    </row>
    <row r="1791" spans="1:29">
      <c r="A1791">
        <v>1784</v>
      </c>
      <c r="B1791">
        <v>2675</v>
      </c>
      <c r="C1791" t="s">
        <v>3973</v>
      </c>
      <c r="D1791" t="s">
        <v>24</v>
      </c>
      <c r="E1791" t="s">
        <v>564</v>
      </c>
      <c r="F1791" t="s">
        <v>3974</v>
      </c>
      <c r="G1791" t="str">
        <f>"201406008741"</f>
        <v>201406008741</v>
      </c>
      <c r="H1791">
        <v>36</v>
      </c>
      <c r="I1791">
        <v>0</v>
      </c>
      <c r="M1791">
        <v>0</v>
      </c>
      <c r="N1791">
        <v>4</v>
      </c>
      <c r="O1791">
        <v>2</v>
      </c>
      <c r="P1791">
        <v>42</v>
      </c>
      <c r="Q1791">
        <v>18</v>
      </c>
      <c r="R1791">
        <v>18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18</v>
      </c>
      <c r="Z1791">
        <v>0</v>
      </c>
      <c r="AA1791">
        <v>0</v>
      </c>
      <c r="AB1791" t="s">
        <v>128</v>
      </c>
      <c r="AC1791">
        <v>60</v>
      </c>
    </row>
    <row r="1792" spans="1:29">
      <c r="A1792">
        <v>1785</v>
      </c>
      <c r="B1792">
        <v>3132</v>
      </c>
      <c r="C1792" t="s">
        <v>1168</v>
      </c>
      <c r="D1792" t="s">
        <v>433</v>
      </c>
      <c r="E1792" t="s">
        <v>115</v>
      </c>
      <c r="F1792" t="s">
        <v>3972</v>
      </c>
      <c r="G1792" t="str">
        <f>"201411003170"</f>
        <v>201411003170</v>
      </c>
      <c r="H1792">
        <v>36</v>
      </c>
      <c r="I1792">
        <v>0</v>
      </c>
      <c r="M1792">
        <v>0</v>
      </c>
      <c r="N1792">
        <v>4</v>
      </c>
      <c r="O1792">
        <v>2</v>
      </c>
      <c r="P1792">
        <v>42</v>
      </c>
      <c r="Q1792">
        <v>18</v>
      </c>
      <c r="R1792">
        <v>18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18</v>
      </c>
      <c r="Z1792">
        <v>0</v>
      </c>
      <c r="AA1792">
        <v>0</v>
      </c>
      <c r="AC1792">
        <v>60</v>
      </c>
    </row>
    <row r="1793" spans="1:29">
      <c r="A1793">
        <v>1786</v>
      </c>
      <c r="B1793">
        <v>517</v>
      </c>
      <c r="C1793" t="s">
        <v>3975</v>
      </c>
      <c r="D1793" t="s">
        <v>130</v>
      </c>
      <c r="E1793" t="s">
        <v>15</v>
      </c>
      <c r="F1793" t="s">
        <v>3976</v>
      </c>
      <c r="G1793" t="str">
        <f>"00441523"</f>
        <v>00441523</v>
      </c>
      <c r="H1793">
        <v>32</v>
      </c>
      <c r="I1793">
        <v>0</v>
      </c>
      <c r="M1793">
        <v>0</v>
      </c>
      <c r="N1793">
        <v>4</v>
      </c>
      <c r="O1793">
        <v>0</v>
      </c>
      <c r="P1793">
        <v>36</v>
      </c>
      <c r="Q1793">
        <v>24</v>
      </c>
      <c r="R1793">
        <v>24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24</v>
      </c>
      <c r="Z1793">
        <v>0</v>
      </c>
      <c r="AA1793">
        <v>0</v>
      </c>
      <c r="AC1793">
        <v>60</v>
      </c>
    </row>
    <row r="1794" spans="1:29">
      <c r="A1794">
        <v>1787</v>
      </c>
      <c r="B1794">
        <v>2368</v>
      </c>
      <c r="C1794" t="s">
        <v>3977</v>
      </c>
      <c r="D1794" t="s">
        <v>3978</v>
      </c>
      <c r="E1794" t="s">
        <v>337</v>
      </c>
      <c r="F1794" t="s">
        <v>3979</v>
      </c>
      <c r="G1794" t="str">
        <f>"00127347"</f>
        <v>00127347</v>
      </c>
      <c r="H1794">
        <v>38.799999999999997</v>
      </c>
      <c r="I1794">
        <v>0</v>
      </c>
      <c r="J1794">
        <v>8</v>
      </c>
      <c r="L1794">
        <v>4</v>
      </c>
      <c r="M1794">
        <v>12</v>
      </c>
      <c r="N1794">
        <v>4</v>
      </c>
      <c r="O1794">
        <v>2</v>
      </c>
      <c r="P1794">
        <v>56.8</v>
      </c>
      <c r="Q1794">
        <v>0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3</v>
      </c>
      <c r="AA1794">
        <v>0</v>
      </c>
      <c r="AC1794">
        <v>59.8</v>
      </c>
    </row>
    <row r="1795" spans="1:29">
      <c r="A1795">
        <v>1788</v>
      </c>
      <c r="B1795">
        <v>1111</v>
      </c>
      <c r="C1795" t="s">
        <v>3980</v>
      </c>
      <c r="D1795" t="s">
        <v>3981</v>
      </c>
      <c r="E1795" t="s">
        <v>647</v>
      </c>
      <c r="F1795" t="s">
        <v>3982</v>
      </c>
      <c r="G1795" t="str">
        <f>"00512888"</f>
        <v>00512888</v>
      </c>
      <c r="H1795">
        <v>17.8</v>
      </c>
      <c r="I1795">
        <v>0</v>
      </c>
      <c r="M1795">
        <v>0</v>
      </c>
      <c r="N1795">
        <v>4</v>
      </c>
      <c r="O1795">
        <v>0</v>
      </c>
      <c r="P1795">
        <v>21.8</v>
      </c>
      <c r="Q1795">
        <v>38</v>
      </c>
      <c r="R1795">
        <v>38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38</v>
      </c>
      <c r="Z1795">
        <v>0</v>
      </c>
      <c r="AA1795">
        <v>0</v>
      </c>
      <c r="AC1795">
        <v>59.8</v>
      </c>
    </row>
    <row r="1796" spans="1:29">
      <c r="A1796">
        <v>1789</v>
      </c>
      <c r="B1796">
        <v>528</v>
      </c>
      <c r="C1796" t="s">
        <v>3983</v>
      </c>
      <c r="D1796" t="s">
        <v>3984</v>
      </c>
      <c r="E1796" t="s">
        <v>3985</v>
      </c>
      <c r="F1796" t="s">
        <v>3986</v>
      </c>
      <c r="G1796" t="str">
        <f>"00511309"</f>
        <v>00511309</v>
      </c>
      <c r="H1796">
        <v>22.76</v>
      </c>
      <c r="I1796">
        <v>0</v>
      </c>
      <c r="M1796">
        <v>0</v>
      </c>
      <c r="N1796">
        <v>0</v>
      </c>
      <c r="O1796">
        <v>0</v>
      </c>
      <c r="P1796">
        <v>22.76</v>
      </c>
      <c r="Q1796">
        <v>28</v>
      </c>
      <c r="R1796">
        <v>28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28</v>
      </c>
      <c r="Z1796">
        <v>9</v>
      </c>
      <c r="AA1796">
        <v>0</v>
      </c>
      <c r="AC1796">
        <v>59.76</v>
      </c>
    </row>
    <row r="1797" spans="1:29">
      <c r="A1797">
        <v>1790</v>
      </c>
      <c r="B1797">
        <v>1931</v>
      </c>
      <c r="C1797" t="s">
        <v>3987</v>
      </c>
      <c r="D1797" t="s">
        <v>3988</v>
      </c>
      <c r="E1797" t="s">
        <v>89</v>
      </c>
      <c r="F1797" t="s">
        <v>3989</v>
      </c>
      <c r="G1797" t="str">
        <f>"00145638"</f>
        <v>00145638</v>
      </c>
      <c r="H1797">
        <v>39.6</v>
      </c>
      <c r="I1797">
        <v>0</v>
      </c>
      <c r="J1797">
        <v>8</v>
      </c>
      <c r="M1797">
        <v>8</v>
      </c>
      <c r="N1797">
        <v>4</v>
      </c>
      <c r="O1797">
        <v>2</v>
      </c>
      <c r="P1797">
        <v>53.6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6</v>
      </c>
      <c r="AA1797">
        <v>0</v>
      </c>
      <c r="AC1797">
        <v>59.6</v>
      </c>
    </row>
    <row r="1798" spans="1:29">
      <c r="A1798">
        <v>1791</v>
      </c>
      <c r="B1798">
        <v>1622</v>
      </c>
      <c r="C1798" t="s">
        <v>3990</v>
      </c>
      <c r="D1798" t="s">
        <v>27</v>
      </c>
      <c r="E1798" t="s">
        <v>53</v>
      </c>
      <c r="F1798" t="s">
        <v>3991</v>
      </c>
      <c r="G1798" t="str">
        <f>"00527960"</f>
        <v>00527960</v>
      </c>
      <c r="H1798">
        <v>21.6</v>
      </c>
      <c r="I1798">
        <v>0</v>
      </c>
      <c r="J1798">
        <v>8</v>
      </c>
      <c r="M1798">
        <v>8</v>
      </c>
      <c r="N1798">
        <v>4</v>
      </c>
      <c r="O1798">
        <v>2</v>
      </c>
      <c r="P1798">
        <v>35.6</v>
      </c>
      <c r="Q1798">
        <v>18</v>
      </c>
      <c r="R1798">
        <v>18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18</v>
      </c>
      <c r="Z1798">
        <v>6</v>
      </c>
      <c r="AA1798">
        <v>0</v>
      </c>
      <c r="AC1798">
        <v>59.6</v>
      </c>
    </row>
    <row r="1799" spans="1:29">
      <c r="A1799">
        <v>1792</v>
      </c>
      <c r="B1799">
        <v>4137</v>
      </c>
      <c r="C1799" t="s">
        <v>1242</v>
      </c>
      <c r="D1799" t="s">
        <v>52</v>
      </c>
      <c r="E1799" t="s">
        <v>156</v>
      </c>
      <c r="F1799" t="s">
        <v>3992</v>
      </c>
      <c r="G1799" t="str">
        <f>"00510090"</f>
        <v>00510090</v>
      </c>
      <c r="H1799">
        <v>21.6</v>
      </c>
      <c r="I1799">
        <v>0</v>
      </c>
      <c r="J1799">
        <v>8</v>
      </c>
      <c r="M1799">
        <v>8</v>
      </c>
      <c r="N1799">
        <v>4</v>
      </c>
      <c r="O1799">
        <v>0</v>
      </c>
      <c r="P1799">
        <v>33.6</v>
      </c>
      <c r="Q1799">
        <v>10</v>
      </c>
      <c r="R1799">
        <v>10</v>
      </c>
      <c r="S1799">
        <v>5</v>
      </c>
      <c r="T1799">
        <v>10</v>
      </c>
      <c r="U1799">
        <v>0</v>
      </c>
      <c r="V1799">
        <v>0</v>
      </c>
      <c r="W1799">
        <v>0</v>
      </c>
      <c r="X1799">
        <v>0</v>
      </c>
      <c r="Y1799">
        <v>20</v>
      </c>
      <c r="Z1799">
        <v>6</v>
      </c>
      <c r="AA1799">
        <v>0</v>
      </c>
      <c r="AC1799">
        <v>59.6</v>
      </c>
    </row>
    <row r="1800" spans="1:29">
      <c r="A1800">
        <v>1793</v>
      </c>
      <c r="B1800">
        <v>3707</v>
      </c>
      <c r="C1800" t="s">
        <v>3994</v>
      </c>
      <c r="D1800" t="s">
        <v>1653</v>
      </c>
      <c r="E1800" t="s">
        <v>647</v>
      </c>
      <c r="F1800" t="s">
        <v>3995</v>
      </c>
      <c r="G1800" t="str">
        <f>"00859678"</f>
        <v>00859678</v>
      </c>
      <c r="H1800">
        <v>57.6</v>
      </c>
      <c r="I1800">
        <v>0</v>
      </c>
      <c r="M1800">
        <v>0</v>
      </c>
      <c r="N1800">
        <v>0</v>
      </c>
      <c r="O1800">
        <v>2</v>
      </c>
      <c r="P1800">
        <v>59.6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C1800">
        <v>59.6</v>
      </c>
    </row>
    <row r="1801" spans="1:29">
      <c r="A1801">
        <v>1794</v>
      </c>
      <c r="B1801">
        <v>2227</v>
      </c>
      <c r="C1801" t="s">
        <v>3081</v>
      </c>
      <c r="D1801" t="s">
        <v>179</v>
      </c>
      <c r="E1801" t="s">
        <v>53</v>
      </c>
      <c r="F1801" t="s">
        <v>3993</v>
      </c>
      <c r="G1801" t="str">
        <f>"201003000207"</f>
        <v>201003000207</v>
      </c>
      <c r="H1801">
        <v>57.6</v>
      </c>
      <c r="I1801">
        <v>0</v>
      </c>
      <c r="M1801">
        <v>0</v>
      </c>
      <c r="N1801">
        <v>0</v>
      </c>
      <c r="O1801">
        <v>2</v>
      </c>
      <c r="P1801">
        <v>59.6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C1801">
        <v>59.6</v>
      </c>
    </row>
    <row r="1802" spans="1:29">
      <c r="A1802">
        <v>1795</v>
      </c>
      <c r="B1802">
        <v>3343</v>
      </c>
      <c r="C1802" t="s">
        <v>3996</v>
      </c>
      <c r="D1802" t="s">
        <v>52</v>
      </c>
      <c r="E1802" t="s">
        <v>156</v>
      </c>
      <c r="F1802" t="s">
        <v>3997</v>
      </c>
      <c r="G1802" t="str">
        <f>"00860086"</f>
        <v>00860086</v>
      </c>
      <c r="H1802">
        <v>57.6</v>
      </c>
      <c r="I1802">
        <v>0</v>
      </c>
      <c r="M1802">
        <v>0</v>
      </c>
      <c r="N1802">
        <v>0</v>
      </c>
      <c r="O1802">
        <v>2</v>
      </c>
      <c r="P1802">
        <v>59.6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C1802">
        <v>59.6</v>
      </c>
    </row>
    <row r="1803" spans="1:29">
      <c r="A1803">
        <v>1796</v>
      </c>
      <c r="B1803">
        <v>960</v>
      </c>
      <c r="C1803" t="s">
        <v>3998</v>
      </c>
      <c r="D1803" t="s">
        <v>20</v>
      </c>
      <c r="E1803" t="s">
        <v>28</v>
      </c>
      <c r="F1803" t="s">
        <v>3999</v>
      </c>
      <c r="G1803" t="str">
        <f>"201406018241"</f>
        <v>201406018241</v>
      </c>
      <c r="H1803">
        <v>39.6</v>
      </c>
      <c r="I1803">
        <v>0</v>
      </c>
      <c r="J1803">
        <v>8</v>
      </c>
      <c r="K1803">
        <v>6</v>
      </c>
      <c r="M1803">
        <v>14</v>
      </c>
      <c r="N1803">
        <v>4</v>
      </c>
      <c r="O1803">
        <v>2</v>
      </c>
      <c r="P1803">
        <v>59.6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C1803">
        <v>59.6</v>
      </c>
    </row>
    <row r="1804" spans="1:29">
      <c r="A1804">
        <v>1797</v>
      </c>
      <c r="B1804">
        <v>3166</v>
      </c>
      <c r="C1804" t="s">
        <v>4000</v>
      </c>
      <c r="D1804" t="s">
        <v>336</v>
      </c>
      <c r="E1804" t="s">
        <v>115</v>
      </c>
      <c r="F1804" t="s">
        <v>4001</v>
      </c>
      <c r="G1804" t="str">
        <f>"00530848"</f>
        <v>00530848</v>
      </c>
      <c r="H1804">
        <v>31.6</v>
      </c>
      <c r="I1804">
        <v>10</v>
      </c>
      <c r="M1804">
        <v>0</v>
      </c>
      <c r="N1804">
        <v>4</v>
      </c>
      <c r="O1804">
        <v>2</v>
      </c>
      <c r="P1804">
        <v>47.6</v>
      </c>
      <c r="Q1804">
        <v>12</v>
      </c>
      <c r="R1804">
        <v>12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12</v>
      </c>
      <c r="Z1804">
        <v>0</v>
      </c>
      <c r="AA1804">
        <v>0</v>
      </c>
      <c r="AC1804">
        <v>59.6</v>
      </c>
    </row>
    <row r="1805" spans="1:29">
      <c r="A1805">
        <v>1798</v>
      </c>
      <c r="B1805">
        <v>1120</v>
      </c>
      <c r="C1805" t="s">
        <v>4002</v>
      </c>
      <c r="D1805" t="s">
        <v>31</v>
      </c>
      <c r="E1805" t="s">
        <v>115</v>
      </c>
      <c r="F1805" t="s">
        <v>4003</v>
      </c>
      <c r="G1805" t="str">
        <f>"00531828"</f>
        <v>00531828</v>
      </c>
      <c r="H1805">
        <v>21.6</v>
      </c>
      <c r="I1805">
        <v>0</v>
      </c>
      <c r="L1805">
        <v>4</v>
      </c>
      <c r="M1805">
        <v>4</v>
      </c>
      <c r="N1805">
        <v>4</v>
      </c>
      <c r="O1805">
        <v>2</v>
      </c>
      <c r="P1805">
        <v>31.6</v>
      </c>
      <c r="Q1805">
        <v>28</v>
      </c>
      <c r="R1805">
        <v>28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28</v>
      </c>
      <c r="Z1805">
        <v>0</v>
      </c>
      <c r="AA1805">
        <v>0</v>
      </c>
      <c r="AC1805">
        <v>59.6</v>
      </c>
    </row>
    <row r="1806" spans="1:29">
      <c r="A1806">
        <v>1799</v>
      </c>
      <c r="B1806">
        <v>386</v>
      </c>
      <c r="C1806" t="s">
        <v>4004</v>
      </c>
      <c r="D1806" t="s">
        <v>1330</v>
      </c>
      <c r="E1806" t="s">
        <v>18</v>
      </c>
      <c r="F1806" t="s">
        <v>4005</v>
      </c>
      <c r="G1806" t="str">
        <f>"00510959"</f>
        <v>00510959</v>
      </c>
      <c r="H1806">
        <v>21.6</v>
      </c>
      <c r="I1806">
        <v>0</v>
      </c>
      <c r="M1806">
        <v>0</v>
      </c>
      <c r="N1806">
        <v>4</v>
      </c>
      <c r="O1806">
        <v>2</v>
      </c>
      <c r="P1806">
        <v>27.6</v>
      </c>
      <c r="Q1806">
        <v>32</v>
      </c>
      <c r="R1806">
        <v>32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32</v>
      </c>
      <c r="Z1806">
        <v>0</v>
      </c>
      <c r="AA1806">
        <v>0</v>
      </c>
      <c r="AC1806">
        <v>59.6</v>
      </c>
    </row>
    <row r="1807" spans="1:29">
      <c r="A1807">
        <v>1800</v>
      </c>
      <c r="B1807">
        <v>2453</v>
      </c>
      <c r="C1807" t="s">
        <v>4006</v>
      </c>
      <c r="D1807" t="s">
        <v>24</v>
      </c>
      <c r="E1807" t="s">
        <v>233</v>
      </c>
      <c r="F1807" t="s">
        <v>4007</v>
      </c>
      <c r="G1807" t="str">
        <f>"00863553"</f>
        <v>00863553</v>
      </c>
      <c r="H1807">
        <v>30.68</v>
      </c>
      <c r="I1807">
        <v>0</v>
      </c>
      <c r="M1807">
        <v>0</v>
      </c>
      <c r="N1807">
        <v>0</v>
      </c>
      <c r="O1807">
        <v>0</v>
      </c>
      <c r="P1807">
        <v>30.68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6</v>
      </c>
      <c r="AA1807">
        <v>22.8</v>
      </c>
      <c r="AC1807">
        <v>59.48</v>
      </c>
    </row>
    <row r="1808" spans="1:29">
      <c r="A1808">
        <v>1801</v>
      </c>
      <c r="B1808">
        <v>1189</v>
      </c>
      <c r="C1808" t="s">
        <v>3128</v>
      </c>
      <c r="D1808" t="s">
        <v>3694</v>
      </c>
      <c r="E1808" t="s">
        <v>237</v>
      </c>
      <c r="F1808" t="s">
        <v>4008</v>
      </c>
      <c r="G1808" t="str">
        <f>"00410609"</f>
        <v>00410609</v>
      </c>
      <c r="H1808">
        <v>37.44</v>
      </c>
      <c r="I1808">
        <v>0</v>
      </c>
      <c r="L1808">
        <v>4</v>
      </c>
      <c r="M1808">
        <v>4</v>
      </c>
      <c r="N1808">
        <v>4</v>
      </c>
      <c r="O1808">
        <v>0</v>
      </c>
      <c r="P1808">
        <v>45.44</v>
      </c>
      <c r="Q1808">
        <v>8</v>
      </c>
      <c r="R1808">
        <v>8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8</v>
      </c>
      <c r="Z1808">
        <v>6</v>
      </c>
      <c r="AA1808">
        <v>0</v>
      </c>
      <c r="AC1808">
        <v>59.44</v>
      </c>
    </row>
    <row r="1809" spans="1:29">
      <c r="A1809">
        <v>1802</v>
      </c>
      <c r="B1809">
        <v>4921</v>
      </c>
      <c r="C1809" t="s">
        <v>4009</v>
      </c>
      <c r="D1809" t="s">
        <v>1370</v>
      </c>
      <c r="E1809" t="s">
        <v>89</v>
      </c>
      <c r="F1809" t="s">
        <v>4010</v>
      </c>
      <c r="G1809" t="str">
        <f>"00809313"</f>
        <v>00809313</v>
      </c>
      <c r="H1809">
        <v>50.4</v>
      </c>
      <c r="I1809">
        <v>0</v>
      </c>
      <c r="M1809">
        <v>0</v>
      </c>
      <c r="N1809">
        <v>4</v>
      </c>
      <c r="O1809">
        <v>2</v>
      </c>
      <c r="P1809">
        <v>56.4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3</v>
      </c>
      <c r="AA1809">
        <v>0</v>
      </c>
      <c r="AC1809">
        <v>59.4</v>
      </c>
    </row>
    <row r="1810" spans="1:29">
      <c r="A1810">
        <v>1803</v>
      </c>
      <c r="B1810">
        <v>1803</v>
      </c>
      <c r="C1810" t="s">
        <v>4011</v>
      </c>
      <c r="D1810" t="s">
        <v>167</v>
      </c>
      <c r="E1810" t="s">
        <v>50</v>
      </c>
      <c r="F1810" t="s">
        <v>4012</v>
      </c>
      <c r="G1810" t="str">
        <f>"00297514"</f>
        <v>00297514</v>
      </c>
      <c r="H1810">
        <v>50.4</v>
      </c>
      <c r="I1810">
        <v>0</v>
      </c>
      <c r="M1810">
        <v>0</v>
      </c>
      <c r="N1810">
        <v>4</v>
      </c>
      <c r="O1810">
        <v>2</v>
      </c>
      <c r="P1810">
        <v>56.4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3</v>
      </c>
      <c r="AA1810">
        <v>0</v>
      </c>
      <c r="AC1810">
        <v>59.4</v>
      </c>
    </row>
    <row r="1811" spans="1:29">
      <c r="A1811">
        <v>1804</v>
      </c>
      <c r="B1811">
        <v>1133</v>
      </c>
      <c r="C1811" t="s">
        <v>4013</v>
      </c>
      <c r="D1811" t="s">
        <v>164</v>
      </c>
      <c r="E1811" t="s">
        <v>134</v>
      </c>
      <c r="F1811" t="s">
        <v>4014</v>
      </c>
      <c r="G1811" t="str">
        <f>"00032030"</f>
        <v>00032030</v>
      </c>
      <c r="H1811">
        <v>10.28</v>
      </c>
      <c r="I1811">
        <v>10</v>
      </c>
      <c r="M1811">
        <v>0</v>
      </c>
      <c r="N1811">
        <v>4</v>
      </c>
      <c r="O1811">
        <v>2</v>
      </c>
      <c r="P1811">
        <v>26.28</v>
      </c>
      <c r="Q1811">
        <v>24</v>
      </c>
      <c r="R1811">
        <v>24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24</v>
      </c>
      <c r="Z1811">
        <v>9</v>
      </c>
      <c r="AA1811">
        <v>0</v>
      </c>
      <c r="AC1811">
        <v>59.28</v>
      </c>
    </row>
    <row r="1812" spans="1:29">
      <c r="A1812">
        <v>1805</v>
      </c>
      <c r="B1812">
        <v>1220</v>
      </c>
      <c r="C1812" t="s">
        <v>4015</v>
      </c>
      <c r="D1812" t="s">
        <v>216</v>
      </c>
      <c r="E1812" t="s">
        <v>32</v>
      </c>
      <c r="F1812" t="s">
        <v>4016</v>
      </c>
      <c r="G1812" t="str">
        <f>"00530777"</f>
        <v>00530777</v>
      </c>
      <c r="H1812">
        <v>26.24</v>
      </c>
      <c r="I1812">
        <v>0</v>
      </c>
      <c r="M1812">
        <v>0</v>
      </c>
      <c r="N1812">
        <v>4</v>
      </c>
      <c r="O1812">
        <v>0</v>
      </c>
      <c r="P1812">
        <v>30.24</v>
      </c>
      <c r="Q1812">
        <v>23</v>
      </c>
      <c r="R1812">
        <v>23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23</v>
      </c>
      <c r="Z1812">
        <v>6</v>
      </c>
      <c r="AA1812">
        <v>0</v>
      </c>
      <c r="AC1812">
        <v>59.24</v>
      </c>
    </row>
    <row r="1813" spans="1:29">
      <c r="A1813">
        <v>1806</v>
      </c>
      <c r="B1813">
        <v>4122</v>
      </c>
      <c r="C1813" t="s">
        <v>4017</v>
      </c>
      <c r="D1813" t="s">
        <v>473</v>
      </c>
      <c r="E1813" t="s">
        <v>647</v>
      </c>
      <c r="F1813" t="s">
        <v>4018</v>
      </c>
      <c r="G1813" t="str">
        <f>"00160371"</f>
        <v>00160371</v>
      </c>
      <c r="H1813">
        <v>7.2</v>
      </c>
      <c r="I1813">
        <v>0</v>
      </c>
      <c r="L1813">
        <v>4</v>
      </c>
      <c r="M1813">
        <v>4</v>
      </c>
      <c r="N1813">
        <v>4</v>
      </c>
      <c r="O1813">
        <v>0</v>
      </c>
      <c r="P1813">
        <v>15.2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12</v>
      </c>
      <c r="AA1813">
        <v>32</v>
      </c>
      <c r="AC1813">
        <v>59.2</v>
      </c>
    </row>
    <row r="1814" spans="1:29">
      <c r="A1814">
        <v>1807</v>
      </c>
      <c r="B1814">
        <v>1716</v>
      </c>
      <c r="C1814" t="s">
        <v>4024</v>
      </c>
      <c r="D1814" t="s">
        <v>3233</v>
      </c>
      <c r="E1814" t="s">
        <v>4025</v>
      </c>
      <c r="F1814" t="s">
        <v>4026</v>
      </c>
      <c r="G1814" t="str">
        <f>"00644383"</f>
        <v>00644383</v>
      </c>
      <c r="H1814">
        <v>43.2</v>
      </c>
      <c r="I1814">
        <v>0</v>
      </c>
      <c r="L1814">
        <v>4</v>
      </c>
      <c r="M1814">
        <v>4</v>
      </c>
      <c r="N1814">
        <v>4</v>
      </c>
      <c r="O1814">
        <v>2</v>
      </c>
      <c r="P1814">
        <v>53.2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6</v>
      </c>
      <c r="AA1814">
        <v>0</v>
      </c>
      <c r="AC1814">
        <v>59.2</v>
      </c>
    </row>
    <row r="1815" spans="1:29">
      <c r="A1815">
        <v>1808</v>
      </c>
      <c r="B1815">
        <v>1235</v>
      </c>
      <c r="C1815" t="s">
        <v>779</v>
      </c>
      <c r="D1815" t="s">
        <v>4021</v>
      </c>
      <c r="E1815" t="s">
        <v>4022</v>
      </c>
      <c r="F1815" t="s">
        <v>4023</v>
      </c>
      <c r="G1815" t="str">
        <f>"00529858"</f>
        <v>00529858</v>
      </c>
      <c r="H1815">
        <v>43.2</v>
      </c>
      <c r="I1815">
        <v>0</v>
      </c>
      <c r="L1815">
        <v>4</v>
      </c>
      <c r="M1815">
        <v>4</v>
      </c>
      <c r="N1815">
        <v>4</v>
      </c>
      <c r="O1815">
        <v>2</v>
      </c>
      <c r="P1815">
        <v>53.2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6</v>
      </c>
      <c r="AA1815">
        <v>0</v>
      </c>
      <c r="AC1815">
        <v>59.2</v>
      </c>
    </row>
    <row r="1816" spans="1:29">
      <c r="A1816">
        <v>1809</v>
      </c>
      <c r="B1816">
        <v>1407</v>
      </c>
      <c r="C1816" t="s">
        <v>4019</v>
      </c>
      <c r="D1816" t="s">
        <v>775</v>
      </c>
      <c r="E1816" t="s">
        <v>15</v>
      </c>
      <c r="F1816" t="s">
        <v>4020</v>
      </c>
      <c r="G1816" t="str">
        <f>"00458894"</f>
        <v>00458894</v>
      </c>
      <c r="H1816">
        <v>43.2</v>
      </c>
      <c r="I1816">
        <v>0</v>
      </c>
      <c r="L1816">
        <v>4</v>
      </c>
      <c r="M1816">
        <v>4</v>
      </c>
      <c r="N1816">
        <v>4</v>
      </c>
      <c r="O1816">
        <v>2</v>
      </c>
      <c r="P1816">
        <v>53.2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6</v>
      </c>
      <c r="AA1816">
        <v>0</v>
      </c>
      <c r="AC1816">
        <v>59.2</v>
      </c>
    </row>
    <row r="1817" spans="1:29">
      <c r="A1817">
        <v>1810</v>
      </c>
      <c r="B1817">
        <v>1996</v>
      </c>
      <c r="C1817" t="s">
        <v>4029</v>
      </c>
      <c r="D1817" t="s">
        <v>4030</v>
      </c>
      <c r="E1817" t="s">
        <v>18</v>
      </c>
      <c r="F1817" t="s">
        <v>4031</v>
      </c>
      <c r="G1817" t="str">
        <f>"00390958"</f>
        <v>00390958</v>
      </c>
      <c r="H1817">
        <v>39.200000000000003</v>
      </c>
      <c r="I1817">
        <v>10</v>
      </c>
      <c r="M1817">
        <v>0</v>
      </c>
      <c r="N1817">
        <v>4</v>
      </c>
      <c r="O1817">
        <v>0</v>
      </c>
      <c r="P1817">
        <v>53.2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6</v>
      </c>
      <c r="AA1817">
        <v>0</v>
      </c>
      <c r="AC1817">
        <v>59.2</v>
      </c>
    </row>
    <row r="1818" spans="1:29">
      <c r="A1818">
        <v>1811</v>
      </c>
      <c r="B1818">
        <v>2478</v>
      </c>
      <c r="C1818" t="s">
        <v>4027</v>
      </c>
      <c r="D1818" t="s">
        <v>52</v>
      </c>
      <c r="E1818" t="s">
        <v>79</v>
      </c>
      <c r="F1818" t="s">
        <v>4028</v>
      </c>
      <c r="G1818" t="str">
        <f>"201406003296"</f>
        <v>201406003296</v>
      </c>
      <c r="H1818">
        <v>39.200000000000003</v>
      </c>
      <c r="I1818">
        <v>0</v>
      </c>
      <c r="J1818">
        <v>8</v>
      </c>
      <c r="M1818">
        <v>8</v>
      </c>
      <c r="N1818">
        <v>4</v>
      </c>
      <c r="O1818">
        <v>2</v>
      </c>
      <c r="P1818">
        <v>53.2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6</v>
      </c>
      <c r="AA1818">
        <v>0</v>
      </c>
      <c r="AC1818">
        <v>59.2</v>
      </c>
    </row>
    <row r="1819" spans="1:29">
      <c r="A1819">
        <v>1812</v>
      </c>
      <c r="B1819">
        <v>119</v>
      </c>
      <c r="C1819" t="s">
        <v>3271</v>
      </c>
      <c r="D1819" t="s">
        <v>159</v>
      </c>
      <c r="E1819" t="s">
        <v>15</v>
      </c>
      <c r="F1819" t="s">
        <v>4032</v>
      </c>
      <c r="G1819" t="str">
        <f>"00440446"</f>
        <v>00440446</v>
      </c>
      <c r="H1819">
        <v>43.2</v>
      </c>
      <c r="I1819">
        <v>0</v>
      </c>
      <c r="M1819">
        <v>0</v>
      </c>
      <c r="N1819">
        <v>0</v>
      </c>
      <c r="O1819">
        <v>2</v>
      </c>
      <c r="P1819">
        <v>45.2</v>
      </c>
      <c r="Q1819">
        <v>11</v>
      </c>
      <c r="R1819">
        <v>11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11</v>
      </c>
      <c r="Z1819">
        <v>3</v>
      </c>
      <c r="AA1819">
        <v>0</v>
      </c>
      <c r="AC1819">
        <v>59.2</v>
      </c>
    </row>
    <row r="1820" spans="1:29">
      <c r="A1820">
        <v>1813</v>
      </c>
      <c r="B1820">
        <v>2074</v>
      </c>
      <c r="C1820" t="s">
        <v>4033</v>
      </c>
      <c r="D1820" t="s">
        <v>4034</v>
      </c>
      <c r="E1820" t="s">
        <v>237</v>
      </c>
      <c r="F1820" t="s">
        <v>4035</v>
      </c>
      <c r="G1820" t="str">
        <f>"00554875"</f>
        <v>00554875</v>
      </c>
      <c r="H1820">
        <v>43.2</v>
      </c>
      <c r="I1820">
        <v>10</v>
      </c>
      <c r="M1820">
        <v>0</v>
      </c>
      <c r="N1820">
        <v>4</v>
      </c>
      <c r="O1820">
        <v>2</v>
      </c>
      <c r="P1820">
        <v>59.2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C1820">
        <v>59.2</v>
      </c>
    </row>
    <row r="1821" spans="1:29">
      <c r="A1821">
        <v>1814</v>
      </c>
      <c r="B1821">
        <v>3877</v>
      </c>
      <c r="C1821" t="s">
        <v>4036</v>
      </c>
      <c r="D1821" t="s">
        <v>98</v>
      </c>
      <c r="E1821" t="s">
        <v>18</v>
      </c>
      <c r="F1821" t="s">
        <v>4037</v>
      </c>
      <c r="G1821" t="str">
        <f>"00724062"</f>
        <v>00724062</v>
      </c>
      <c r="H1821">
        <v>39.200000000000003</v>
      </c>
      <c r="I1821">
        <v>10</v>
      </c>
      <c r="L1821">
        <v>4</v>
      </c>
      <c r="M1821">
        <v>4</v>
      </c>
      <c r="N1821">
        <v>4</v>
      </c>
      <c r="O1821">
        <v>2</v>
      </c>
      <c r="P1821">
        <v>59.2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0</v>
      </c>
      <c r="AC1821">
        <v>59.2</v>
      </c>
    </row>
    <row r="1822" spans="1:29">
      <c r="A1822">
        <v>1815</v>
      </c>
      <c r="B1822">
        <v>4952</v>
      </c>
      <c r="C1822" t="s">
        <v>3605</v>
      </c>
      <c r="D1822" t="s">
        <v>185</v>
      </c>
      <c r="E1822" t="s">
        <v>15</v>
      </c>
      <c r="F1822" t="s">
        <v>4038</v>
      </c>
      <c r="G1822" t="str">
        <f>"00661516"</f>
        <v>00661516</v>
      </c>
      <c r="H1822">
        <v>37.200000000000003</v>
      </c>
      <c r="I1822">
        <v>10</v>
      </c>
      <c r="J1822">
        <v>8</v>
      </c>
      <c r="M1822">
        <v>8</v>
      </c>
      <c r="N1822">
        <v>4</v>
      </c>
      <c r="O1822">
        <v>0</v>
      </c>
      <c r="P1822">
        <v>59.2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C1822">
        <v>59.2</v>
      </c>
    </row>
    <row r="1823" spans="1:29">
      <c r="A1823">
        <v>1816</v>
      </c>
      <c r="B1823">
        <v>1247</v>
      </c>
      <c r="C1823" t="s">
        <v>4039</v>
      </c>
      <c r="D1823" t="s">
        <v>4040</v>
      </c>
      <c r="E1823" t="s">
        <v>4041</v>
      </c>
      <c r="F1823" t="s">
        <v>4042</v>
      </c>
      <c r="G1823" t="str">
        <f>"201511025847"</f>
        <v>201511025847</v>
      </c>
      <c r="H1823">
        <v>35.200000000000003</v>
      </c>
      <c r="I1823">
        <v>10</v>
      </c>
      <c r="J1823">
        <v>8</v>
      </c>
      <c r="M1823">
        <v>8</v>
      </c>
      <c r="N1823">
        <v>4</v>
      </c>
      <c r="O1823">
        <v>2</v>
      </c>
      <c r="P1823">
        <v>59.2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0</v>
      </c>
      <c r="AC1823">
        <v>59.2</v>
      </c>
    </row>
    <row r="1824" spans="1:29">
      <c r="A1824">
        <v>1817</v>
      </c>
      <c r="B1824">
        <v>2907</v>
      </c>
      <c r="C1824" t="s">
        <v>3587</v>
      </c>
      <c r="D1824" t="s">
        <v>4043</v>
      </c>
      <c r="E1824" t="s">
        <v>79</v>
      </c>
      <c r="F1824" t="s">
        <v>4044</v>
      </c>
      <c r="G1824" t="str">
        <f>"00530880"</f>
        <v>00530880</v>
      </c>
      <c r="H1824">
        <v>27.2</v>
      </c>
      <c r="I1824">
        <v>0</v>
      </c>
      <c r="J1824">
        <v>8</v>
      </c>
      <c r="M1824">
        <v>8</v>
      </c>
      <c r="N1824">
        <v>4</v>
      </c>
      <c r="O1824">
        <v>2</v>
      </c>
      <c r="P1824">
        <v>41.2</v>
      </c>
      <c r="Q1824">
        <v>18</v>
      </c>
      <c r="R1824">
        <v>18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18</v>
      </c>
      <c r="Z1824">
        <v>0</v>
      </c>
      <c r="AA1824">
        <v>0</v>
      </c>
      <c r="AC1824">
        <v>59.2</v>
      </c>
    </row>
    <row r="1825" spans="1:29">
      <c r="A1825">
        <v>1818</v>
      </c>
      <c r="B1825">
        <v>1825</v>
      </c>
      <c r="C1825" t="s">
        <v>4045</v>
      </c>
      <c r="D1825" t="s">
        <v>27</v>
      </c>
      <c r="E1825" t="s">
        <v>36</v>
      </c>
      <c r="F1825" t="s">
        <v>4046</v>
      </c>
      <c r="G1825" t="str">
        <f>"00560054"</f>
        <v>00560054</v>
      </c>
      <c r="H1825">
        <v>12.72</v>
      </c>
      <c r="I1825">
        <v>0</v>
      </c>
      <c r="J1825">
        <v>8</v>
      </c>
      <c r="M1825">
        <v>8</v>
      </c>
      <c r="N1825">
        <v>0</v>
      </c>
      <c r="O1825">
        <v>0</v>
      </c>
      <c r="P1825">
        <v>20.72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6</v>
      </c>
      <c r="AA1825">
        <v>32.4</v>
      </c>
      <c r="AC1825">
        <v>59.12</v>
      </c>
    </row>
    <row r="1826" spans="1:29">
      <c r="A1826">
        <v>1819</v>
      </c>
      <c r="B1826">
        <v>1486</v>
      </c>
      <c r="C1826" t="s">
        <v>4047</v>
      </c>
      <c r="D1826" t="s">
        <v>276</v>
      </c>
      <c r="E1826" t="s">
        <v>340</v>
      </c>
      <c r="F1826" t="s">
        <v>4048</v>
      </c>
      <c r="G1826" t="str">
        <f>"00485079"</f>
        <v>00485079</v>
      </c>
      <c r="H1826">
        <v>40</v>
      </c>
      <c r="I1826">
        <v>0</v>
      </c>
      <c r="L1826">
        <v>4</v>
      </c>
      <c r="M1826">
        <v>4</v>
      </c>
      <c r="N1826">
        <v>4</v>
      </c>
      <c r="O1826">
        <v>2</v>
      </c>
      <c r="P1826">
        <v>50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9</v>
      </c>
      <c r="AA1826">
        <v>0</v>
      </c>
      <c r="AC1826">
        <v>59</v>
      </c>
    </row>
    <row r="1827" spans="1:29">
      <c r="A1827">
        <v>1820</v>
      </c>
      <c r="B1827">
        <v>1099</v>
      </c>
      <c r="C1827" t="s">
        <v>4049</v>
      </c>
      <c r="D1827" t="s">
        <v>27</v>
      </c>
      <c r="E1827" t="s">
        <v>3453</v>
      </c>
      <c r="F1827" t="s">
        <v>4050</v>
      </c>
      <c r="G1827" t="str">
        <f>"00854835"</f>
        <v>00854835</v>
      </c>
      <c r="H1827">
        <v>37</v>
      </c>
      <c r="I1827">
        <v>10</v>
      </c>
      <c r="M1827">
        <v>0</v>
      </c>
      <c r="N1827">
        <v>4</v>
      </c>
      <c r="O1827">
        <v>2</v>
      </c>
      <c r="P1827">
        <v>53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6</v>
      </c>
      <c r="AA1827">
        <v>0</v>
      </c>
      <c r="AC1827">
        <v>59</v>
      </c>
    </row>
    <row r="1828" spans="1:29">
      <c r="A1828">
        <v>1821</v>
      </c>
      <c r="B1828">
        <v>938</v>
      </c>
      <c r="C1828" t="s">
        <v>4051</v>
      </c>
      <c r="D1828" t="s">
        <v>4052</v>
      </c>
      <c r="E1828" t="s">
        <v>4053</v>
      </c>
      <c r="F1828" t="s">
        <v>4054</v>
      </c>
      <c r="G1828" t="str">
        <f>"00637350"</f>
        <v>00637350</v>
      </c>
      <c r="H1828">
        <v>40</v>
      </c>
      <c r="I1828">
        <v>10</v>
      </c>
      <c r="M1828">
        <v>0</v>
      </c>
      <c r="N1828">
        <v>4</v>
      </c>
      <c r="O1828">
        <v>2</v>
      </c>
      <c r="P1828">
        <v>56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3</v>
      </c>
      <c r="AA1828">
        <v>0</v>
      </c>
      <c r="AC1828">
        <v>59</v>
      </c>
    </row>
    <row r="1829" spans="1:29">
      <c r="A1829">
        <v>1822</v>
      </c>
      <c r="B1829">
        <v>28</v>
      </c>
      <c r="C1829" t="s">
        <v>4055</v>
      </c>
      <c r="D1829" t="s">
        <v>735</v>
      </c>
      <c r="E1829" t="s">
        <v>36</v>
      </c>
      <c r="F1829" t="s">
        <v>4056</v>
      </c>
      <c r="G1829" t="str">
        <f>"00516862"</f>
        <v>00516862</v>
      </c>
      <c r="H1829">
        <v>36</v>
      </c>
      <c r="I1829">
        <v>10</v>
      </c>
      <c r="L1829">
        <v>4</v>
      </c>
      <c r="M1829">
        <v>4</v>
      </c>
      <c r="N1829">
        <v>4</v>
      </c>
      <c r="O1829">
        <v>2</v>
      </c>
      <c r="P1829">
        <v>56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3</v>
      </c>
      <c r="AA1829">
        <v>0</v>
      </c>
      <c r="AC1829">
        <v>59</v>
      </c>
    </row>
    <row r="1830" spans="1:29">
      <c r="A1830">
        <v>1823</v>
      </c>
      <c r="B1830">
        <v>2204</v>
      </c>
      <c r="C1830" t="s">
        <v>4060</v>
      </c>
      <c r="D1830" t="s">
        <v>130</v>
      </c>
      <c r="E1830" t="s">
        <v>134</v>
      </c>
      <c r="F1830" t="s">
        <v>4061</v>
      </c>
      <c r="G1830" t="str">
        <f>"00532024"</f>
        <v>00532024</v>
      </c>
      <c r="H1830">
        <v>36</v>
      </c>
      <c r="I1830">
        <v>0</v>
      </c>
      <c r="M1830">
        <v>0</v>
      </c>
      <c r="N1830">
        <v>4</v>
      </c>
      <c r="O1830">
        <v>2</v>
      </c>
      <c r="P1830">
        <v>42</v>
      </c>
      <c r="Q1830">
        <v>14</v>
      </c>
      <c r="R1830">
        <v>14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14</v>
      </c>
      <c r="Z1830">
        <v>3</v>
      </c>
      <c r="AA1830">
        <v>0</v>
      </c>
      <c r="AC1830">
        <v>59</v>
      </c>
    </row>
    <row r="1831" spans="1:29">
      <c r="A1831">
        <v>1824</v>
      </c>
      <c r="B1831">
        <v>255</v>
      </c>
      <c r="C1831" t="s">
        <v>4057</v>
      </c>
      <c r="D1831" t="s">
        <v>4058</v>
      </c>
      <c r="E1831" t="s">
        <v>79</v>
      </c>
      <c r="F1831" t="s">
        <v>4059</v>
      </c>
      <c r="G1831" t="str">
        <f>"00511806"</f>
        <v>00511806</v>
      </c>
      <c r="H1831">
        <v>36</v>
      </c>
      <c r="I1831">
        <v>0</v>
      </c>
      <c r="M1831">
        <v>0</v>
      </c>
      <c r="N1831">
        <v>4</v>
      </c>
      <c r="O1831">
        <v>2</v>
      </c>
      <c r="P1831">
        <v>42</v>
      </c>
      <c r="Q1831">
        <v>8</v>
      </c>
      <c r="R1831">
        <v>8</v>
      </c>
      <c r="S1831">
        <v>0</v>
      </c>
      <c r="T1831">
        <v>0</v>
      </c>
      <c r="U1831">
        <v>4</v>
      </c>
      <c r="V1831">
        <v>6</v>
      </c>
      <c r="W1831">
        <v>0</v>
      </c>
      <c r="X1831">
        <v>0</v>
      </c>
      <c r="Y1831">
        <v>14</v>
      </c>
      <c r="Z1831">
        <v>3</v>
      </c>
      <c r="AA1831">
        <v>0</v>
      </c>
      <c r="AC1831">
        <v>59</v>
      </c>
    </row>
    <row r="1832" spans="1:29">
      <c r="A1832">
        <v>1825</v>
      </c>
      <c r="B1832">
        <v>1522</v>
      </c>
      <c r="C1832" t="s">
        <v>4062</v>
      </c>
      <c r="D1832" t="s">
        <v>175</v>
      </c>
      <c r="E1832" t="s">
        <v>36</v>
      </c>
      <c r="F1832" t="s">
        <v>4063</v>
      </c>
      <c r="G1832" t="str">
        <f>"201405001786"</f>
        <v>201405001786</v>
      </c>
      <c r="H1832">
        <v>36</v>
      </c>
      <c r="I1832">
        <v>0</v>
      </c>
      <c r="J1832">
        <v>8</v>
      </c>
      <c r="M1832">
        <v>8</v>
      </c>
      <c r="N1832">
        <v>4</v>
      </c>
      <c r="O1832">
        <v>2</v>
      </c>
      <c r="P1832">
        <v>50</v>
      </c>
      <c r="Q1832">
        <v>9</v>
      </c>
      <c r="R1832">
        <v>9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9</v>
      </c>
      <c r="Z1832">
        <v>0</v>
      </c>
      <c r="AA1832">
        <v>0</v>
      </c>
      <c r="AC1832">
        <v>59</v>
      </c>
    </row>
    <row r="1833" spans="1:29">
      <c r="A1833">
        <v>1826</v>
      </c>
      <c r="B1833">
        <v>2077</v>
      </c>
      <c r="C1833" t="s">
        <v>4064</v>
      </c>
      <c r="D1833" t="s">
        <v>205</v>
      </c>
      <c r="E1833" t="s">
        <v>36</v>
      </c>
      <c r="F1833" t="s">
        <v>4065</v>
      </c>
      <c r="G1833" t="str">
        <f>"00532074"</f>
        <v>00532074</v>
      </c>
      <c r="H1833">
        <v>36</v>
      </c>
      <c r="I1833">
        <v>0</v>
      </c>
      <c r="M1833">
        <v>0</v>
      </c>
      <c r="N1833">
        <v>4</v>
      </c>
      <c r="O1833">
        <v>2</v>
      </c>
      <c r="P1833">
        <v>42</v>
      </c>
      <c r="Q1833">
        <v>17</v>
      </c>
      <c r="R1833">
        <v>17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17</v>
      </c>
      <c r="Z1833">
        <v>0</v>
      </c>
      <c r="AA1833">
        <v>0</v>
      </c>
      <c r="AC1833">
        <v>59</v>
      </c>
    </row>
    <row r="1834" spans="1:29">
      <c r="A1834">
        <v>1827</v>
      </c>
      <c r="B1834">
        <v>3800</v>
      </c>
      <c r="C1834" t="s">
        <v>4068</v>
      </c>
      <c r="D1834" t="s">
        <v>24</v>
      </c>
      <c r="E1834" t="s">
        <v>134</v>
      </c>
      <c r="F1834" t="s">
        <v>4069</v>
      </c>
      <c r="G1834" t="str">
        <f>"00858980"</f>
        <v>00858980</v>
      </c>
      <c r="H1834">
        <v>38.799999999999997</v>
      </c>
      <c r="I1834">
        <v>10</v>
      </c>
      <c r="M1834">
        <v>0</v>
      </c>
      <c r="N1834">
        <v>4</v>
      </c>
      <c r="O1834">
        <v>0</v>
      </c>
      <c r="P1834">
        <v>52.8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6</v>
      </c>
      <c r="AA1834">
        <v>0</v>
      </c>
      <c r="AC1834">
        <v>58.8</v>
      </c>
    </row>
    <row r="1835" spans="1:29">
      <c r="A1835">
        <v>1828</v>
      </c>
      <c r="B1835">
        <v>714</v>
      </c>
      <c r="C1835" t="s">
        <v>4066</v>
      </c>
      <c r="D1835" t="s">
        <v>24</v>
      </c>
      <c r="E1835" t="s">
        <v>122</v>
      </c>
      <c r="F1835" t="s">
        <v>4067</v>
      </c>
      <c r="G1835" t="str">
        <f>"00555941"</f>
        <v>00555941</v>
      </c>
      <c r="H1835">
        <v>38.799999999999997</v>
      </c>
      <c r="I1835">
        <v>10</v>
      </c>
      <c r="M1835">
        <v>0</v>
      </c>
      <c r="N1835">
        <v>4</v>
      </c>
      <c r="O1835">
        <v>0</v>
      </c>
      <c r="P1835">
        <v>52.8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6</v>
      </c>
      <c r="AA1835">
        <v>0</v>
      </c>
      <c r="AC1835">
        <v>58.8</v>
      </c>
    </row>
    <row r="1836" spans="1:29">
      <c r="A1836">
        <v>1829</v>
      </c>
      <c r="B1836">
        <v>4469</v>
      </c>
      <c r="C1836" t="s">
        <v>4070</v>
      </c>
      <c r="D1836" t="s">
        <v>52</v>
      </c>
      <c r="E1836" t="s">
        <v>227</v>
      </c>
      <c r="F1836" t="s">
        <v>4071</v>
      </c>
      <c r="G1836" t="str">
        <f>"00504633"</f>
        <v>00504633</v>
      </c>
      <c r="H1836">
        <v>28.8</v>
      </c>
      <c r="I1836">
        <v>10</v>
      </c>
      <c r="M1836">
        <v>0</v>
      </c>
      <c r="N1836">
        <v>4</v>
      </c>
      <c r="O1836">
        <v>2</v>
      </c>
      <c r="P1836">
        <v>44.8</v>
      </c>
      <c r="Q1836">
        <v>11</v>
      </c>
      <c r="R1836">
        <v>11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11</v>
      </c>
      <c r="Z1836">
        <v>3</v>
      </c>
      <c r="AA1836">
        <v>0</v>
      </c>
      <c r="AC1836">
        <v>58.8</v>
      </c>
    </row>
    <row r="1837" spans="1:29">
      <c r="A1837">
        <v>1830</v>
      </c>
      <c r="B1837">
        <v>1227</v>
      </c>
      <c r="C1837" t="s">
        <v>3190</v>
      </c>
      <c r="D1837" t="s">
        <v>39</v>
      </c>
      <c r="E1837" t="s">
        <v>66</v>
      </c>
      <c r="F1837" t="s">
        <v>4075</v>
      </c>
      <c r="G1837" t="str">
        <f>"201511008311"</f>
        <v>201511008311</v>
      </c>
      <c r="H1837">
        <v>38.799999999999997</v>
      </c>
      <c r="I1837">
        <v>10</v>
      </c>
      <c r="L1837">
        <v>4</v>
      </c>
      <c r="M1837">
        <v>4</v>
      </c>
      <c r="N1837">
        <v>4</v>
      </c>
      <c r="O1837">
        <v>2</v>
      </c>
      <c r="P1837">
        <v>58.8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C1837">
        <v>58.8</v>
      </c>
    </row>
    <row r="1838" spans="1:29">
      <c r="A1838">
        <v>1831</v>
      </c>
      <c r="B1838">
        <v>2239</v>
      </c>
      <c r="C1838" t="s">
        <v>195</v>
      </c>
      <c r="D1838" t="s">
        <v>811</v>
      </c>
      <c r="E1838" t="s">
        <v>122</v>
      </c>
      <c r="F1838" t="s">
        <v>4074</v>
      </c>
      <c r="G1838" t="str">
        <f>"00077614"</f>
        <v>00077614</v>
      </c>
      <c r="H1838">
        <v>38.799999999999997</v>
      </c>
      <c r="I1838">
        <v>10</v>
      </c>
      <c r="L1838">
        <v>4</v>
      </c>
      <c r="M1838">
        <v>4</v>
      </c>
      <c r="N1838">
        <v>4</v>
      </c>
      <c r="O1838">
        <v>2</v>
      </c>
      <c r="P1838">
        <v>58.8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C1838">
        <v>58.8</v>
      </c>
    </row>
    <row r="1839" spans="1:29">
      <c r="A1839">
        <v>1832</v>
      </c>
      <c r="B1839">
        <v>211</v>
      </c>
      <c r="C1839" t="s">
        <v>4072</v>
      </c>
      <c r="D1839" t="s">
        <v>20</v>
      </c>
      <c r="E1839" t="s">
        <v>319</v>
      </c>
      <c r="F1839" t="s">
        <v>4073</v>
      </c>
      <c r="G1839" t="str">
        <f>"00015758"</f>
        <v>00015758</v>
      </c>
      <c r="H1839">
        <v>38.799999999999997</v>
      </c>
      <c r="I1839">
        <v>10</v>
      </c>
      <c r="K1839">
        <v>6</v>
      </c>
      <c r="M1839">
        <v>6</v>
      </c>
      <c r="N1839">
        <v>4</v>
      </c>
      <c r="O1839">
        <v>0</v>
      </c>
      <c r="P1839">
        <v>58.8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C1839">
        <v>58.8</v>
      </c>
    </row>
    <row r="1840" spans="1:29">
      <c r="A1840">
        <v>1833</v>
      </c>
      <c r="B1840">
        <v>1114</v>
      </c>
      <c r="C1840" t="s">
        <v>4076</v>
      </c>
      <c r="D1840" t="s">
        <v>175</v>
      </c>
      <c r="E1840" t="s">
        <v>237</v>
      </c>
      <c r="F1840" t="s">
        <v>4077</v>
      </c>
      <c r="G1840" t="str">
        <f>"00516537"</f>
        <v>00516537</v>
      </c>
      <c r="H1840">
        <v>28.8</v>
      </c>
      <c r="I1840">
        <v>0</v>
      </c>
      <c r="M1840">
        <v>0</v>
      </c>
      <c r="N1840">
        <v>0</v>
      </c>
      <c r="O1840">
        <v>0</v>
      </c>
      <c r="P1840">
        <v>28.8</v>
      </c>
      <c r="Q1840">
        <v>30</v>
      </c>
      <c r="R1840">
        <v>30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30</v>
      </c>
      <c r="Z1840">
        <v>0</v>
      </c>
      <c r="AA1840">
        <v>0</v>
      </c>
      <c r="AC1840">
        <v>58.8</v>
      </c>
    </row>
    <row r="1841" spans="1:29">
      <c r="A1841">
        <v>1834</v>
      </c>
      <c r="B1841">
        <v>4660</v>
      </c>
      <c r="C1841" t="s">
        <v>4078</v>
      </c>
      <c r="D1841" t="s">
        <v>397</v>
      </c>
      <c r="E1841" t="s">
        <v>36</v>
      </c>
      <c r="F1841" t="s">
        <v>4079</v>
      </c>
      <c r="G1841" t="str">
        <f>"00442211"</f>
        <v>00442211</v>
      </c>
      <c r="H1841">
        <v>39.6</v>
      </c>
      <c r="I1841">
        <v>0</v>
      </c>
      <c r="K1841">
        <v>6</v>
      </c>
      <c r="M1841">
        <v>6</v>
      </c>
      <c r="N1841">
        <v>4</v>
      </c>
      <c r="O1841">
        <v>0</v>
      </c>
      <c r="P1841">
        <v>49.6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9</v>
      </c>
      <c r="AA1841">
        <v>0</v>
      </c>
      <c r="AC1841">
        <v>58.6</v>
      </c>
    </row>
    <row r="1842" spans="1:29">
      <c r="A1842">
        <v>1835</v>
      </c>
      <c r="B1842">
        <v>4462</v>
      </c>
      <c r="C1842" t="s">
        <v>4080</v>
      </c>
      <c r="D1842" t="s">
        <v>694</v>
      </c>
      <c r="E1842" t="s">
        <v>889</v>
      </c>
      <c r="F1842" t="s">
        <v>4081</v>
      </c>
      <c r="G1842" t="str">
        <f>"00613232"</f>
        <v>00613232</v>
      </c>
      <c r="H1842">
        <v>37.6</v>
      </c>
      <c r="I1842">
        <v>0</v>
      </c>
      <c r="K1842">
        <v>6</v>
      </c>
      <c r="M1842">
        <v>6</v>
      </c>
      <c r="N1842">
        <v>4</v>
      </c>
      <c r="O1842">
        <v>2</v>
      </c>
      <c r="P1842">
        <v>49.6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9</v>
      </c>
      <c r="AA1842">
        <v>0</v>
      </c>
      <c r="AC1842">
        <v>58.6</v>
      </c>
    </row>
    <row r="1843" spans="1:29">
      <c r="A1843">
        <v>1836</v>
      </c>
      <c r="B1843">
        <v>4191</v>
      </c>
      <c r="C1843" t="s">
        <v>4082</v>
      </c>
      <c r="D1843" t="s">
        <v>2859</v>
      </c>
      <c r="E1843" t="s">
        <v>252</v>
      </c>
      <c r="F1843" t="s">
        <v>4083</v>
      </c>
      <c r="G1843" t="str">
        <f>"00533223"</f>
        <v>00533223</v>
      </c>
      <c r="H1843">
        <v>21.6</v>
      </c>
      <c r="I1843">
        <v>10</v>
      </c>
      <c r="M1843">
        <v>0</v>
      </c>
      <c r="N1843">
        <v>4</v>
      </c>
      <c r="O1843">
        <v>0</v>
      </c>
      <c r="P1843">
        <v>35.6</v>
      </c>
      <c r="Q1843">
        <v>14</v>
      </c>
      <c r="R1843">
        <v>14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14</v>
      </c>
      <c r="Z1843">
        <v>9</v>
      </c>
      <c r="AA1843">
        <v>0</v>
      </c>
      <c r="AC1843">
        <v>58.6</v>
      </c>
    </row>
    <row r="1844" spans="1:29">
      <c r="A1844">
        <v>1837</v>
      </c>
      <c r="B1844">
        <v>2163</v>
      </c>
      <c r="C1844" t="s">
        <v>4084</v>
      </c>
      <c r="D1844" t="s">
        <v>27</v>
      </c>
      <c r="E1844" t="s">
        <v>967</v>
      </c>
      <c r="F1844" t="s">
        <v>4085</v>
      </c>
      <c r="G1844" t="str">
        <f>"201412004527"</f>
        <v>201412004527</v>
      </c>
      <c r="H1844">
        <v>39.6</v>
      </c>
      <c r="I1844">
        <v>10</v>
      </c>
      <c r="M1844">
        <v>0</v>
      </c>
      <c r="N1844">
        <v>4</v>
      </c>
      <c r="O1844">
        <v>2</v>
      </c>
      <c r="P1844">
        <v>55.6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3</v>
      </c>
      <c r="AA1844">
        <v>0</v>
      </c>
      <c r="AC1844">
        <v>58.6</v>
      </c>
    </row>
    <row r="1845" spans="1:29">
      <c r="A1845">
        <v>1838</v>
      </c>
      <c r="B1845">
        <v>908</v>
      </c>
      <c r="C1845" t="s">
        <v>4086</v>
      </c>
      <c r="D1845" t="s">
        <v>3537</v>
      </c>
      <c r="E1845" t="s">
        <v>3139</v>
      </c>
      <c r="F1845" t="s">
        <v>4087</v>
      </c>
      <c r="G1845" t="str">
        <f>"201511022549"</f>
        <v>201511022549</v>
      </c>
      <c r="H1845">
        <v>24.52</v>
      </c>
      <c r="I1845">
        <v>10</v>
      </c>
      <c r="L1845">
        <v>4</v>
      </c>
      <c r="M1845">
        <v>4</v>
      </c>
      <c r="N1845">
        <v>0</v>
      </c>
      <c r="O1845">
        <v>2</v>
      </c>
      <c r="P1845">
        <v>40.520000000000003</v>
      </c>
      <c r="Q1845">
        <v>15</v>
      </c>
      <c r="R1845">
        <v>15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15</v>
      </c>
      <c r="Z1845">
        <v>3</v>
      </c>
      <c r="AA1845">
        <v>0</v>
      </c>
      <c r="AC1845">
        <v>58.52</v>
      </c>
    </row>
    <row r="1846" spans="1:29">
      <c r="A1846">
        <v>1839</v>
      </c>
      <c r="B1846">
        <v>2437</v>
      </c>
      <c r="C1846" t="s">
        <v>4088</v>
      </c>
      <c r="D1846" t="s">
        <v>133</v>
      </c>
      <c r="E1846" t="s">
        <v>967</v>
      </c>
      <c r="F1846" t="s">
        <v>4089</v>
      </c>
      <c r="G1846" t="str">
        <f>"00534191"</f>
        <v>00534191</v>
      </c>
      <c r="H1846">
        <v>31.48</v>
      </c>
      <c r="I1846">
        <v>10</v>
      </c>
      <c r="L1846">
        <v>4</v>
      </c>
      <c r="M1846">
        <v>4</v>
      </c>
      <c r="N1846">
        <v>4</v>
      </c>
      <c r="O1846">
        <v>0</v>
      </c>
      <c r="P1846">
        <v>49.48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9</v>
      </c>
      <c r="AA1846">
        <v>0</v>
      </c>
      <c r="AC1846">
        <v>58.48</v>
      </c>
    </row>
    <row r="1847" spans="1:29">
      <c r="A1847">
        <v>1840</v>
      </c>
      <c r="B1847">
        <v>1751</v>
      </c>
      <c r="C1847" t="s">
        <v>1704</v>
      </c>
      <c r="D1847" t="s">
        <v>52</v>
      </c>
      <c r="E1847" t="s">
        <v>227</v>
      </c>
      <c r="F1847" t="s">
        <v>4090</v>
      </c>
      <c r="G1847" t="str">
        <f>"00498354"</f>
        <v>00498354</v>
      </c>
      <c r="H1847">
        <v>35.479999999999997</v>
      </c>
      <c r="I1847">
        <v>0</v>
      </c>
      <c r="J1847">
        <v>8</v>
      </c>
      <c r="M1847">
        <v>8</v>
      </c>
      <c r="N1847">
        <v>4</v>
      </c>
      <c r="O1847">
        <v>0</v>
      </c>
      <c r="P1847">
        <v>47.48</v>
      </c>
      <c r="Q1847">
        <v>5</v>
      </c>
      <c r="R1847">
        <v>5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5</v>
      </c>
      <c r="Z1847">
        <v>6</v>
      </c>
      <c r="AA1847">
        <v>0</v>
      </c>
      <c r="AC1847">
        <v>58.48</v>
      </c>
    </row>
    <row r="1848" spans="1:29">
      <c r="A1848">
        <v>1841</v>
      </c>
      <c r="B1848">
        <v>3643</v>
      </c>
      <c r="C1848" t="s">
        <v>4091</v>
      </c>
      <c r="D1848" t="s">
        <v>86</v>
      </c>
      <c r="E1848" t="s">
        <v>115</v>
      </c>
      <c r="F1848" t="s">
        <v>4092</v>
      </c>
      <c r="G1848" t="str">
        <f>"00511802"</f>
        <v>00511802</v>
      </c>
      <c r="H1848">
        <v>18.48</v>
      </c>
      <c r="I1848">
        <v>0</v>
      </c>
      <c r="J1848">
        <v>8</v>
      </c>
      <c r="M1848">
        <v>8</v>
      </c>
      <c r="N1848">
        <v>4</v>
      </c>
      <c r="O1848">
        <v>0</v>
      </c>
      <c r="P1848">
        <v>30.48</v>
      </c>
      <c r="Q1848">
        <v>28</v>
      </c>
      <c r="R1848">
        <v>28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28</v>
      </c>
      <c r="Z1848">
        <v>0</v>
      </c>
      <c r="AA1848">
        <v>0</v>
      </c>
      <c r="AC1848">
        <v>58.48</v>
      </c>
    </row>
    <row r="1849" spans="1:29">
      <c r="A1849">
        <v>1842</v>
      </c>
      <c r="B1849">
        <v>4429</v>
      </c>
      <c r="C1849" t="s">
        <v>4093</v>
      </c>
      <c r="D1849" t="s">
        <v>739</v>
      </c>
      <c r="E1849" t="s">
        <v>15</v>
      </c>
      <c r="F1849" t="s">
        <v>4094</v>
      </c>
      <c r="G1849" t="str">
        <f>"201102000469"</f>
        <v>201102000469</v>
      </c>
      <c r="H1849">
        <v>35.44</v>
      </c>
      <c r="I1849">
        <v>10</v>
      </c>
      <c r="L1849">
        <v>4</v>
      </c>
      <c r="M1849">
        <v>4</v>
      </c>
      <c r="N1849">
        <v>4</v>
      </c>
      <c r="O1849">
        <v>2</v>
      </c>
      <c r="P1849">
        <v>55.44</v>
      </c>
      <c r="Q1849">
        <v>0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3</v>
      </c>
      <c r="AA1849">
        <v>0</v>
      </c>
      <c r="AC1849">
        <v>58.44</v>
      </c>
    </row>
    <row r="1850" spans="1:29">
      <c r="A1850">
        <v>1843</v>
      </c>
      <c r="B1850">
        <v>3721</v>
      </c>
      <c r="C1850" t="s">
        <v>4102</v>
      </c>
      <c r="D1850" t="s">
        <v>164</v>
      </c>
      <c r="E1850" t="s">
        <v>134</v>
      </c>
      <c r="F1850" t="s">
        <v>4103</v>
      </c>
      <c r="G1850" t="str">
        <f>"00529966"</f>
        <v>00529966</v>
      </c>
      <c r="H1850">
        <v>50.4</v>
      </c>
      <c r="I1850">
        <v>0</v>
      </c>
      <c r="L1850">
        <v>4</v>
      </c>
      <c r="M1850">
        <v>4</v>
      </c>
      <c r="N1850">
        <v>4</v>
      </c>
      <c r="O1850">
        <v>0</v>
      </c>
      <c r="P1850">
        <v>58.4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C1850">
        <v>58.4</v>
      </c>
    </row>
    <row r="1851" spans="1:29">
      <c r="A1851">
        <v>1844</v>
      </c>
      <c r="B1851">
        <v>218</v>
      </c>
      <c r="C1851" t="s">
        <v>4104</v>
      </c>
      <c r="D1851" t="s">
        <v>20</v>
      </c>
      <c r="E1851" t="s">
        <v>15</v>
      </c>
      <c r="F1851" t="s">
        <v>4105</v>
      </c>
      <c r="G1851" t="str">
        <f>"00557503"</f>
        <v>00557503</v>
      </c>
      <c r="H1851">
        <v>50.4</v>
      </c>
      <c r="I1851">
        <v>0</v>
      </c>
      <c r="L1851">
        <v>4</v>
      </c>
      <c r="M1851">
        <v>4</v>
      </c>
      <c r="N1851">
        <v>4</v>
      </c>
      <c r="O1851">
        <v>0</v>
      </c>
      <c r="P1851">
        <v>58.4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C1851">
        <v>58.4</v>
      </c>
    </row>
    <row r="1852" spans="1:29">
      <c r="A1852">
        <v>1845</v>
      </c>
      <c r="B1852">
        <v>2872</v>
      </c>
      <c r="C1852" t="s">
        <v>4095</v>
      </c>
      <c r="D1852" t="s">
        <v>1484</v>
      </c>
      <c r="E1852" t="s">
        <v>156</v>
      </c>
      <c r="F1852" t="s">
        <v>4096</v>
      </c>
      <c r="G1852" t="str">
        <f>"00860792"</f>
        <v>00860792</v>
      </c>
      <c r="H1852">
        <v>50.4</v>
      </c>
      <c r="I1852">
        <v>0</v>
      </c>
      <c r="L1852">
        <v>4</v>
      </c>
      <c r="M1852">
        <v>4</v>
      </c>
      <c r="N1852">
        <v>4</v>
      </c>
      <c r="O1852">
        <v>0</v>
      </c>
      <c r="P1852">
        <v>58.4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0</v>
      </c>
      <c r="AC1852">
        <v>58.4</v>
      </c>
    </row>
    <row r="1853" spans="1:29">
      <c r="A1853">
        <v>1846</v>
      </c>
      <c r="B1853">
        <v>4927</v>
      </c>
      <c r="C1853" t="s">
        <v>4097</v>
      </c>
      <c r="D1853" t="s">
        <v>4098</v>
      </c>
      <c r="E1853" t="s">
        <v>1450</v>
      </c>
      <c r="F1853" t="s">
        <v>4099</v>
      </c>
      <c r="G1853" t="str">
        <f>"00634684"</f>
        <v>00634684</v>
      </c>
      <c r="H1853">
        <v>50.4</v>
      </c>
      <c r="I1853">
        <v>0</v>
      </c>
      <c r="L1853">
        <v>4</v>
      </c>
      <c r="M1853">
        <v>4</v>
      </c>
      <c r="N1853">
        <v>4</v>
      </c>
      <c r="O1853">
        <v>0</v>
      </c>
      <c r="P1853">
        <v>58.4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C1853">
        <v>58.4</v>
      </c>
    </row>
    <row r="1854" spans="1:29">
      <c r="A1854">
        <v>1847</v>
      </c>
      <c r="B1854">
        <v>1837</v>
      </c>
      <c r="C1854" t="s">
        <v>4111</v>
      </c>
      <c r="D1854" t="s">
        <v>52</v>
      </c>
      <c r="E1854" t="s">
        <v>15</v>
      </c>
      <c r="F1854" t="s">
        <v>4112</v>
      </c>
      <c r="G1854" t="str">
        <f>"00157981"</f>
        <v>00157981</v>
      </c>
      <c r="H1854">
        <v>50.4</v>
      </c>
      <c r="I1854">
        <v>0</v>
      </c>
      <c r="L1854">
        <v>4</v>
      </c>
      <c r="M1854">
        <v>4</v>
      </c>
      <c r="N1854">
        <v>4</v>
      </c>
      <c r="O1854">
        <v>0</v>
      </c>
      <c r="P1854">
        <v>58.4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C1854">
        <v>58.4</v>
      </c>
    </row>
    <row r="1855" spans="1:29">
      <c r="A1855">
        <v>1848</v>
      </c>
      <c r="B1855">
        <v>2528</v>
      </c>
      <c r="C1855" t="s">
        <v>4100</v>
      </c>
      <c r="D1855" t="s">
        <v>400</v>
      </c>
      <c r="E1855" t="s">
        <v>60</v>
      </c>
      <c r="F1855" t="s">
        <v>4101</v>
      </c>
      <c r="G1855" t="str">
        <f>"00528007"</f>
        <v>00528007</v>
      </c>
      <c r="H1855">
        <v>50.4</v>
      </c>
      <c r="I1855">
        <v>0</v>
      </c>
      <c r="L1855">
        <v>4</v>
      </c>
      <c r="M1855">
        <v>4</v>
      </c>
      <c r="N1855">
        <v>4</v>
      </c>
      <c r="O1855">
        <v>0</v>
      </c>
      <c r="P1855">
        <v>58.4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C1855">
        <v>58.4</v>
      </c>
    </row>
    <row r="1856" spans="1:29">
      <c r="A1856">
        <v>1849</v>
      </c>
      <c r="B1856">
        <v>4128</v>
      </c>
      <c r="C1856" t="s">
        <v>4108</v>
      </c>
      <c r="D1856" t="s">
        <v>164</v>
      </c>
      <c r="E1856" t="s">
        <v>4109</v>
      </c>
      <c r="F1856" t="s">
        <v>4110</v>
      </c>
      <c r="G1856" t="str">
        <f>"00854821"</f>
        <v>00854821</v>
      </c>
      <c r="H1856">
        <v>50.4</v>
      </c>
      <c r="I1856">
        <v>0</v>
      </c>
      <c r="L1856">
        <v>4</v>
      </c>
      <c r="M1856">
        <v>4</v>
      </c>
      <c r="N1856">
        <v>4</v>
      </c>
      <c r="O1856">
        <v>0</v>
      </c>
      <c r="P1856">
        <v>58.4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C1856">
        <v>58.4</v>
      </c>
    </row>
    <row r="1857" spans="1:29">
      <c r="A1857">
        <v>1850</v>
      </c>
      <c r="B1857">
        <v>3153</v>
      </c>
      <c r="C1857" t="s">
        <v>4106</v>
      </c>
      <c r="D1857" t="s">
        <v>167</v>
      </c>
      <c r="E1857" t="s">
        <v>237</v>
      </c>
      <c r="F1857" t="s">
        <v>4107</v>
      </c>
      <c r="G1857" t="str">
        <f>"00858972"</f>
        <v>00858972</v>
      </c>
      <c r="H1857">
        <v>50.4</v>
      </c>
      <c r="I1857">
        <v>0</v>
      </c>
      <c r="L1857">
        <v>4</v>
      </c>
      <c r="M1857">
        <v>4</v>
      </c>
      <c r="N1857">
        <v>4</v>
      </c>
      <c r="O1857">
        <v>0</v>
      </c>
      <c r="P1857">
        <v>58.4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C1857">
        <v>58.4</v>
      </c>
    </row>
    <row r="1858" spans="1:29">
      <c r="A1858">
        <v>1851</v>
      </c>
      <c r="B1858">
        <v>4506</v>
      </c>
      <c r="C1858" t="s">
        <v>4113</v>
      </c>
      <c r="D1858" t="s">
        <v>1687</v>
      </c>
      <c r="E1858" t="s">
        <v>564</v>
      </c>
      <c r="F1858" t="s">
        <v>4114</v>
      </c>
      <c r="G1858" t="str">
        <f>"00862248"</f>
        <v>00862248</v>
      </c>
      <c r="H1858">
        <v>50.4</v>
      </c>
      <c r="I1858">
        <v>0</v>
      </c>
      <c r="L1858">
        <v>4</v>
      </c>
      <c r="M1858">
        <v>4</v>
      </c>
      <c r="N1858">
        <v>4</v>
      </c>
      <c r="O1858">
        <v>0</v>
      </c>
      <c r="P1858">
        <v>58.4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C1858">
        <v>58.4</v>
      </c>
    </row>
    <row r="1859" spans="1:29">
      <c r="A1859">
        <v>1852</v>
      </c>
      <c r="B1859">
        <v>2811</v>
      </c>
      <c r="C1859" t="s">
        <v>4115</v>
      </c>
      <c r="D1859" t="s">
        <v>59</v>
      </c>
      <c r="E1859" t="s">
        <v>224</v>
      </c>
      <c r="F1859" t="s">
        <v>4116</v>
      </c>
      <c r="G1859" t="str">
        <f>"00513167"</f>
        <v>00513167</v>
      </c>
      <c r="H1859">
        <v>38.4</v>
      </c>
      <c r="I1859">
        <v>10</v>
      </c>
      <c r="L1859">
        <v>4</v>
      </c>
      <c r="M1859">
        <v>4</v>
      </c>
      <c r="N1859">
        <v>4</v>
      </c>
      <c r="O1859">
        <v>2</v>
      </c>
      <c r="P1859">
        <v>58.4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  <c r="AC1859">
        <v>58.4</v>
      </c>
    </row>
    <row r="1860" spans="1:29">
      <c r="A1860">
        <v>1853</v>
      </c>
      <c r="B1860">
        <v>3113</v>
      </c>
      <c r="C1860" t="s">
        <v>1614</v>
      </c>
      <c r="D1860" t="s">
        <v>329</v>
      </c>
      <c r="E1860" t="s">
        <v>176</v>
      </c>
      <c r="F1860" t="s">
        <v>4117</v>
      </c>
      <c r="G1860" t="str">
        <f>"00533726"</f>
        <v>00533726</v>
      </c>
      <c r="H1860">
        <v>32.4</v>
      </c>
      <c r="I1860">
        <v>0</v>
      </c>
      <c r="J1860">
        <v>8</v>
      </c>
      <c r="M1860">
        <v>8</v>
      </c>
      <c r="N1860">
        <v>4</v>
      </c>
      <c r="O1860">
        <v>0</v>
      </c>
      <c r="P1860">
        <v>44.4</v>
      </c>
      <c r="Q1860">
        <v>14</v>
      </c>
      <c r="R1860">
        <v>14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14</v>
      </c>
      <c r="Z1860">
        <v>0</v>
      </c>
      <c r="AA1860">
        <v>0</v>
      </c>
      <c r="AC1860">
        <v>58.4</v>
      </c>
    </row>
    <row r="1861" spans="1:29">
      <c r="A1861">
        <v>1854</v>
      </c>
      <c r="B1861">
        <v>1297</v>
      </c>
      <c r="C1861" t="s">
        <v>4118</v>
      </c>
      <c r="D1861" t="s">
        <v>2162</v>
      </c>
      <c r="E1861" t="s">
        <v>4119</v>
      </c>
      <c r="F1861" t="s">
        <v>4120</v>
      </c>
      <c r="G1861" t="str">
        <f>"00507731"</f>
        <v>00507731</v>
      </c>
      <c r="H1861">
        <v>26.4</v>
      </c>
      <c r="I1861">
        <v>10</v>
      </c>
      <c r="M1861">
        <v>0</v>
      </c>
      <c r="N1861">
        <v>4</v>
      </c>
      <c r="O1861">
        <v>2</v>
      </c>
      <c r="P1861">
        <v>42.4</v>
      </c>
      <c r="Q1861">
        <v>16</v>
      </c>
      <c r="R1861">
        <v>16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16</v>
      </c>
      <c r="Z1861">
        <v>0</v>
      </c>
      <c r="AA1861">
        <v>0</v>
      </c>
      <c r="AC1861">
        <v>58.4</v>
      </c>
    </row>
    <row r="1862" spans="1:29">
      <c r="A1862">
        <v>1855</v>
      </c>
      <c r="B1862">
        <v>2241</v>
      </c>
      <c r="C1862" t="s">
        <v>989</v>
      </c>
      <c r="D1862" t="s">
        <v>4121</v>
      </c>
      <c r="E1862" t="s">
        <v>227</v>
      </c>
      <c r="F1862" t="s">
        <v>4122</v>
      </c>
      <c r="G1862" t="str">
        <f>"00031828"</f>
        <v>00031828</v>
      </c>
      <c r="H1862">
        <v>22.4</v>
      </c>
      <c r="I1862">
        <v>10</v>
      </c>
      <c r="L1862">
        <v>4</v>
      </c>
      <c r="M1862">
        <v>4</v>
      </c>
      <c r="N1862">
        <v>4</v>
      </c>
      <c r="O1862">
        <v>0</v>
      </c>
      <c r="P1862">
        <v>40.4</v>
      </c>
      <c r="Q1862">
        <v>18</v>
      </c>
      <c r="R1862">
        <v>18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18</v>
      </c>
      <c r="Z1862">
        <v>0</v>
      </c>
      <c r="AA1862">
        <v>0</v>
      </c>
      <c r="AC1862">
        <v>58.4</v>
      </c>
    </row>
    <row r="1863" spans="1:29">
      <c r="A1863">
        <v>1856</v>
      </c>
      <c r="B1863">
        <v>2365</v>
      </c>
      <c r="C1863" t="s">
        <v>4123</v>
      </c>
      <c r="D1863" t="s">
        <v>24</v>
      </c>
      <c r="E1863" t="s">
        <v>2568</v>
      </c>
      <c r="F1863" t="s">
        <v>4124</v>
      </c>
      <c r="G1863" t="str">
        <f>"00495348"</f>
        <v>00495348</v>
      </c>
      <c r="H1863">
        <v>14.4</v>
      </c>
      <c r="I1863">
        <v>10</v>
      </c>
      <c r="J1863">
        <v>8</v>
      </c>
      <c r="M1863">
        <v>8</v>
      </c>
      <c r="N1863">
        <v>4</v>
      </c>
      <c r="O1863">
        <v>2</v>
      </c>
      <c r="P1863">
        <v>38.4</v>
      </c>
      <c r="Q1863">
        <v>20</v>
      </c>
      <c r="R1863">
        <v>20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20</v>
      </c>
      <c r="Z1863">
        <v>0</v>
      </c>
      <c r="AA1863">
        <v>0</v>
      </c>
      <c r="AC1863">
        <v>58.4</v>
      </c>
    </row>
    <row r="1864" spans="1:29">
      <c r="A1864">
        <v>1857</v>
      </c>
      <c r="B1864">
        <v>182</v>
      </c>
      <c r="C1864" t="s">
        <v>4125</v>
      </c>
      <c r="D1864" t="s">
        <v>739</v>
      </c>
      <c r="E1864" t="s">
        <v>967</v>
      </c>
      <c r="F1864" t="s">
        <v>4126</v>
      </c>
      <c r="G1864" t="str">
        <f>"00508675"</f>
        <v>00508675</v>
      </c>
      <c r="H1864">
        <v>36.4</v>
      </c>
      <c r="I1864">
        <v>0</v>
      </c>
      <c r="M1864">
        <v>0</v>
      </c>
      <c r="N1864">
        <v>0</v>
      </c>
      <c r="O1864">
        <v>0</v>
      </c>
      <c r="P1864">
        <v>36.4</v>
      </c>
      <c r="Q1864">
        <v>22</v>
      </c>
      <c r="R1864">
        <v>22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22</v>
      </c>
      <c r="Z1864">
        <v>0</v>
      </c>
      <c r="AA1864">
        <v>0</v>
      </c>
      <c r="AC1864">
        <v>58.4</v>
      </c>
    </row>
    <row r="1865" spans="1:29">
      <c r="A1865">
        <v>1858</v>
      </c>
      <c r="B1865">
        <v>4497</v>
      </c>
      <c r="C1865" t="s">
        <v>4127</v>
      </c>
      <c r="D1865" t="s">
        <v>739</v>
      </c>
      <c r="E1865" t="s">
        <v>115</v>
      </c>
      <c r="F1865" t="s">
        <v>4128</v>
      </c>
      <c r="G1865" t="str">
        <f>"00486261"</f>
        <v>00486261</v>
      </c>
      <c r="H1865">
        <v>14.4</v>
      </c>
      <c r="I1865">
        <v>0</v>
      </c>
      <c r="J1865">
        <v>8</v>
      </c>
      <c r="M1865">
        <v>8</v>
      </c>
      <c r="N1865">
        <v>4</v>
      </c>
      <c r="O1865">
        <v>2</v>
      </c>
      <c r="P1865">
        <v>28.4</v>
      </c>
      <c r="Q1865">
        <v>30</v>
      </c>
      <c r="R1865">
        <v>30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30</v>
      </c>
      <c r="Z1865">
        <v>0</v>
      </c>
      <c r="AA1865">
        <v>0</v>
      </c>
      <c r="AC1865">
        <v>58.4</v>
      </c>
    </row>
    <row r="1866" spans="1:29">
      <c r="A1866">
        <v>1859</v>
      </c>
      <c r="B1866">
        <v>3205</v>
      </c>
      <c r="C1866" t="s">
        <v>4129</v>
      </c>
      <c r="D1866" t="s">
        <v>167</v>
      </c>
      <c r="E1866" t="s">
        <v>165</v>
      </c>
      <c r="F1866" t="s">
        <v>4130</v>
      </c>
      <c r="G1866" t="str">
        <f>"00042422"</f>
        <v>00042422</v>
      </c>
      <c r="H1866">
        <v>33.32</v>
      </c>
      <c r="I1866">
        <v>0</v>
      </c>
      <c r="L1866">
        <v>4</v>
      </c>
      <c r="M1866">
        <v>4</v>
      </c>
      <c r="N1866">
        <v>4</v>
      </c>
      <c r="O1866">
        <v>0</v>
      </c>
      <c r="P1866">
        <v>41.32</v>
      </c>
      <c r="Q1866">
        <v>8</v>
      </c>
      <c r="R1866">
        <v>8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8</v>
      </c>
      <c r="Z1866">
        <v>9</v>
      </c>
      <c r="AA1866">
        <v>0</v>
      </c>
      <c r="AC1866">
        <v>58.32</v>
      </c>
    </row>
    <row r="1867" spans="1:29">
      <c r="A1867">
        <v>1860</v>
      </c>
      <c r="B1867">
        <v>38</v>
      </c>
      <c r="C1867" t="s">
        <v>4131</v>
      </c>
      <c r="D1867" t="s">
        <v>95</v>
      </c>
      <c r="E1867" t="s">
        <v>66</v>
      </c>
      <c r="F1867" t="s">
        <v>4132</v>
      </c>
      <c r="G1867" t="str">
        <f>"00481412"</f>
        <v>00481412</v>
      </c>
      <c r="H1867">
        <v>11.28</v>
      </c>
      <c r="I1867">
        <v>0</v>
      </c>
      <c r="M1867">
        <v>0</v>
      </c>
      <c r="N1867">
        <v>0</v>
      </c>
      <c r="O1867">
        <v>2</v>
      </c>
      <c r="P1867">
        <v>13.28</v>
      </c>
      <c r="Q1867">
        <v>42</v>
      </c>
      <c r="R1867">
        <v>42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42</v>
      </c>
      <c r="Z1867">
        <v>3</v>
      </c>
      <c r="AA1867">
        <v>0</v>
      </c>
      <c r="AC1867">
        <v>58.28</v>
      </c>
    </row>
    <row r="1868" spans="1:29">
      <c r="A1868">
        <v>1861</v>
      </c>
      <c r="B1868">
        <v>3190</v>
      </c>
      <c r="C1868" t="s">
        <v>4133</v>
      </c>
      <c r="D1868" t="s">
        <v>39</v>
      </c>
      <c r="E1868" t="s">
        <v>4134</v>
      </c>
      <c r="F1868" t="s">
        <v>4135</v>
      </c>
      <c r="G1868" t="str">
        <f>"00562902"</f>
        <v>00562902</v>
      </c>
      <c r="H1868">
        <v>43.2</v>
      </c>
      <c r="I1868">
        <v>0</v>
      </c>
      <c r="M1868">
        <v>0</v>
      </c>
      <c r="N1868">
        <v>4</v>
      </c>
      <c r="O1868">
        <v>2</v>
      </c>
      <c r="P1868">
        <v>49.2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9</v>
      </c>
      <c r="AA1868">
        <v>0</v>
      </c>
      <c r="AC1868">
        <v>58.2</v>
      </c>
    </row>
    <row r="1869" spans="1:29">
      <c r="A1869">
        <v>1862</v>
      </c>
      <c r="B1869">
        <v>320</v>
      </c>
      <c r="C1869" t="s">
        <v>2056</v>
      </c>
      <c r="D1869" t="s">
        <v>811</v>
      </c>
      <c r="E1869" t="s">
        <v>36</v>
      </c>
      <c r="F1869" t="s">
        <v>4136</v>
      </c>
      <c r="G1869" t="str">
        <f>"00403807"</f>
        <v>00403807</v>
      </c>
      <c r="H1869">
        <v>39.200000000000003</v>
      </c>
      <c r="I1869">
        <v>10</v>
      </c>
      <c r="M1869">
        <v>0</v>
      </c>
      <c r="N1869">
        <v>0</v>
      </c>
      <c r="O1869">
        <v>0</v>
      </c>
      <c r="P1869">
        <v>49.2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9</v>
      </c>
      <c r="AA1869">
        <v>0</v>
      </c>
      <c r="AC1869">
        <v>58.2</v>
      </c>
    </row>
    <row r="1870" spans="1:29">
      <c r="A1870">
        <v>1863</v>
      </c>
      <c r="B1870">
        <v>3514</v>
      </c>
      <c r="C1870" t="s">
        <v>779</v>
      </c>
      <c r="D1870" t="s">
        <v>98</v>
      </c>
      <c r="E1870" t="s">
        <v>36</v>
      </c>
      <c r="F1870" t="s">
        <v>4137</v>
      </c>
      <c r="G1870" t="str">
        <f>"00158354"</f>
        <v>00158354</v>
      </c>
      <c r="H1870">
        <v>43.2</v>
      </c>
      <c r="I1870">
        <v>0</v>
      </c>
      <c r="J1870">
        <v>8</v>
      </c>
      <c r="M1870">
        <v>8</v>
      </c>
      <c r="N1870">
        <v>4</v>
      </c>
      <c r="O1870">
        <v>0</v>
      </c>
      <c r="P1870">
        <v>55.2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3</v>
      </c>
      <c r="AA1870">
        <v>0</v>
      </c>
      <c r="AC1870">
        <v>58.2</v>
      </c>
    </row>
    <row r="1871" spans="1:29">
      <c r="A1871">
        <v>1864</v>
      </c>
      <c r="B1871">
        <v>4308</v>
      </c>
      <c r="C1871" t="s">
        <v>1425</v>
      </c>
      <c r="D1871" t="s">
        <v>20</v>
      </c>
      <c r="E1871" t="s">
        <v>15</v>
      </c>
      <c r="F1871" t="s">
        <v>4138</v>
      </c>
      <c r="G1871" t="str">
        <f>"00859370"</f>
        <v>00859370</v>
      </c>
      <c r="H1871">
        <v>39.200000000000003</v>
      </c>
      <c r="I1871">
        <v>10</v>
      </c>
      <c r="M1871">
        <v>0</v>
      </c>
      <c r="N1871">
        <v>4</v>
      </c>
      <c r="O1871">
        <v>2</v>
      </c>
      <c r="P1871">
        <v>55.2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3</v>
      </c>
      <c r="AA1871">
        <v>0</v>
      </c>
      <c r="AC1871">
        <v>58.2</v>
      </c>
    </row>
    <row r="1872" spans="1:29">
      <c r="A1872">
        <v>1865</v>
      </c>
      <c r="B1872">
        <v>2768</v>
      </c>
      <c r="C1872" t="s">
        <v>4139</v>
      </c>
      <c r="D1872" t="s">
        <v>205</v>
      </c>
      <c r="E1872" t="s">
        <v>18</v>
      </c>
      <c r="F1872" t="s">
        <v>4140</v>
      </c>
      <c r="G1872" t="str">
        <f>"00517374"</f>
        <v>00517374</v>
      </c>
      <c r="H1872">
        <v>43.2</v>
      </c>
      <c r="I1872">
        <v>0</v>
      </c>
      <c r="M1872">
        <v>0</v>
      </c>
      <c r="N1872">
        <v>4</v>
      </c>
      <c r="O1872">
        <v>0</v>
      </c>
      <c r="P1872">
        <v>47.2</v>
      </c>
      <c r="Q1872">
        <v>8</v>
      </c>
      <c r="R1872">
        <v>8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8</v>
      </c>
      <c r="Z1872">
        <v>3</v>
      </c>
      <c r="AA1872">
        <v>0</v>
      </c>
      <c r="AC1872">
        <v>58.2</v>
      </c>
    </row>
    <row r="1873" spans="1:29">
      <c r="A1873">
        <v>1866</v>
      </c>
      <c r="B1873">
        <v>3327</v>
      </c>
      <c r="C1873" t="s">
        <v>1637</v>
      </c>
      <c r="D1873" t="s">
        <v>137</v>
      </c>
      <c r="E1873" t="s">
        <v>122</v>
      </c>
      <c r="F1873" t="s">
        <v>4144</v>
      </c>
      <c r="G1873" t="str">
        <f>"00862403"</f>
        <v>00862403</v>
      </c>
      <c r="H1873">
        <v>40</v>
      </c>
      <c r="I1873">
        <v>10</v>
      </c>
      <c r="M1873">
        <v>0</v>
      </c>
      <c r="N1873">
        <v>0</v>
      </c>
      <c r="O1873">
        <v>2</v>
      </c>
      <c r="P1873">
        <v>52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6</v>
      </c>
      <c r="AA1873">
        <v>0</v>
      </c>
      <c r="AC1873">
        <v>58</v>
      </c>
    </row>
    <row r="1874" spans="1:29">
      <c r="A1874">
        <v>1867</v>
      </c>
      <c r="B1874">
        <v>4486</v>
      </c>
      <c r="C1874" t="s">
        <v>1067</v>
      </c>
      <c r="D1874" t="s">
        <v>145</v>
      </c>
      <c r="E1874" t="s">
        <v>15</v>
      </c>
      <c r="F1874" t="s">
        <v>4141</v>
      </c>
      <c r="G1874" t="str">
        <f>"00631833"</f>
        <v>00631833</v>
      </c>
      <c r="H1874">
        <v>40</v>
      </c>
      <c r="I1874">
        <v>0</v>
      </c>
      <c r="J1874">
        <v>8</v>
      </c>
      <c r="M1874">
        <v>8</v>
      </c>
      <c r="N1874">
        <v>4</v>
      </c>
      <c r="O1874">
        <v>0</v>
      </c>
      <c r="P1874">
        <v>52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6</v>
      </c>
      <c r="AA1874">
        <v>0</v>
      </c>
      <c r="AC1874">
        <v>58</v>
      </c>
    </row>
    <row r="1875" spans="1:29">
      <c r="A1875">
        <v>1868</v>
      </c>
      <c r="B1875">
        <v>2769</v>
      </c>
      <c r="C1875" t="s">
        <v>4142</v>
      </c>
      <c r="D1875" t="s">
        <v>39</v>
      </c>
      <c r="E1875" t="s">
        <v>18</v>
      </c>
      <c r="F1875" t="s">
        <v>4143</v>
      </c>
      <c r="G1875" t="str">
        <f>"00861360"</f>
        <v>00861360</v>
      </c>
      <c r="H1875">
        <v>40</v>
      </c>
      <c r="I1875">
        <v>10</v>
      </c>
      <c r="M1875">
        <v>0</v>
      </c>
      <c r="N1875">
        <v>0</v>
      </c>
      <c r="O1875">
        <v>2</v>
      </c>
      <c r="P1875">
        <v>52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6</v>
      </c>
      <c r="AA1875">
        <v>0</v>
      </c>
      <c r="AC1875">
        <v>58</v>
      </c>
    </row>
    <row r="1876" spans="1:29">
      <c r="A1876">
        <v>1869</v>
      </c>
      <c r="B1876">
        <v>2755</v>
      </c>
      <c r="C1876" t="s">
        <v>1171</v>
      </c>
      <c r="D1876" t="s">
        <v>397</v>
      </c>
      <c r="E1876" t="s">
        <v>156</v>
      </c>
      <c r="F1876" t="s">
        <v>4149</v>
      </c>
      <c r="G1876" t="str">
        <f>"00860617"</f>
        <v>00860617</v>
      </c>
      <c r="H1876">
        <v>38</v>
      </c>
      <c r="I1876">
        <v>10</v>
      </c>
      <c r="L1876">
        <v>4</v>
      </c>
      <c r="M1876">
        <v>4</v>
      </c>
      <c r="N1876">
        <v>0</v>
      </c>
      <c r="O1876">
        <v>0</v>
      </c>
      <c r="P1876">
        <v>52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6</v>
      </c>
      <c r="AA1876">
        <v>0</v>
      </c>
      <c r="AC1876">
        <v>58</v>
      </c>
    </row>
    <row r="1877" spans="1:29">
      <c r="A1877">
        <v>1870</v>
      </c>
      <c r="B1877">
        <v>4544</v>
      </c>
      <c r="C1877" t="s">
        <v>4145</v>
      </c>
      <c r="D1877" t="s">
        <v>137</v>
      </c>
      <c r="E1877" t="s">
        <v>644</v>
      </c>
      <c r="F1877" t="s">
        <v>4146</v>
      </c>
      <c r="G1877" t="str">
        <f>"201410002431"</f>
        <v>201410002431</v>
      </c>
      <c r="H1877">
        <v>38</v>
      </c>
      <c r="I1877">
        <v>0</v>
      </c>
      <c r="J1877">
        <v>8</v>
      </c>
      <c r="K1877">
        <v>6</v>
      </c>
      <c r="M1877">
        <v>14</v>
      </c>
      <c r="N1877">
        <v>0</v>
      </c>
      <c r="O1877">
        <v>0</v>
      </c>
      <c r="P1877">
        <v>52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6</v>
      </c>
      <c r="AA1877">
        <v>0</v>
      </c>
      <c r="AC1877">
        <v>58</v>
      </c>
    </row>
    <row r="1878" spans="1:29">
      <c r="A1878">
        <v>1871</v>
      </c>
      <c r="B1878">
        <v>3724</v>
      </c>
      <c r="C1878" t="s">
        <v>4147</v>
      </c>
      <c r="D1878" t="s">
        <v>52</v>
      </c>
      <c r="E1878" t="s">
        <v>18</v>
      </c>
      <c r="F1878" t="s">
        <v>4148</v>
      </c>
      <c r="G1878" t="str">
        <f>"00375507"</f>
        <v>00375507</v>
      </c>
      <c r="H1878">
        <v>38</v>
      </c>
      <c r="I1878">
        <v>10</v>
      </c>
      <c r="M1878">
        <v>0</v>
      </c>
      <c r="N1878">
        <v>4</v>
      </c>
      <c r="O1878">
        <v>0</v>
      </c>
      <c r="P1878">
        <v>52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6</v>
      </c>
      <c r="AA1878">
        <v>0</v>
      </c>
      <c r="AC1878">
        <v>58</v>
      </c>
    </row>
    <row r="1879" spans="1:29">
      <c r="A1879">
        <v>1872</v>
      </c>
      <c r="B1879">
        <v>3005</v>
      </c>
      <c r="C1879" t="s">
        <v>4150</v>
      </c>
      <c r="D1879" t="s">
        <v>175</v>
      </c>
      <c r="E1879" t="s">
        <v>36</v>
      </c>
      <c r="F1879" t="s">
        <v>4151</v>
      </c>
      <c r="G1879" t="str">
        <f>"201406002774"</f>
        <v>201406002774</v>
      </c>
      <c r="H1879">
        <v>36</v>
      </c>
      <c r="I1879">
        <v>0</v>
      </c>
      <c r="J1879">
        <v>8</v>
      </c>
      <c r="M1879">
        <v>8</v>
      </c>
      <c r="N1879">
        <v>4</v>
      </c>
      <c r="O1879">
        <v>2</v>
      </c>
      <c r="P1879">
        <v>50</v>
      </c>
      <c r="Q1879">
        <v>2</v>
      </c>
      <c r="R1879">
        <v>2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2</v>
      </c>
      <c r="Z1879">
        <v>6</v>
      </c>
      <c r="AA1879">
        <v>0</v>
      </c>
      <c r="AC1879">
        <v>58</v>
      </c>
    </row>
    <row r="1880" spans="1:29">
      <c r="A1880">
        <v>1873</v>
      </c>
      <c r="B1880">
        <v>1298</v>
      </c>
      <c r="C1880" t="s">
        <v>2306</v>
      </c>
      <c r="D1880" t="s">
        <v>952</v>
      </c>
      <c r="E1880" t="s">
        <v>337</v>
      </c>
      <c r="F1880" t="s">
        <v>4155</v>
      </c>
      <c r="G1880" t="str">
        <f>"00504798"</f>
        <v>00504798</v>
      </c>
      <c r="H1880">
        <v>40</v>
      </c>
      <c r="I1880">
        <v>0</v>
      </c>
      <c r="J1880">
        <v>8</v>
      </c>
      <c r="L1880">
        <v>4</v>
      </c>
      <c r="M1880">
        <v>12</v>
      </c>
      <c r="N1880">
        <v>4</v>
      </c>
      <c r="O1880">
        <v>2</v>
      </c>
      <c r="P1880">
        <v>58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0</v>
      </c>
      <c r="AC1880">
        <v>58</v>
      </c>
    </row>
    <row r="1881" spans="1:29">
      <c r="A1881">
        <v>1874</v>
      </c>
      <c r="B1881">
        <v>2222</v>
      </c>
      <c r="C1881" t="s">
        <v>4161</v>
      </c>
      <c r="D1881" t="s">
        <v>27</v>
      </c>
      <c r="E1881" t="s">
        <v>115</v>
      </c>
      <c r="F1881" t="s">
        <v>4162</v>
      </c>
      <c r="G1881" t="str">
        <f>"00531387"</f>
        <v>00531387</v>
      </c>
      <c r="H1881">
        <v>40</v>
      </c>
      <c r="I1881">
        <v>0</v>
      </c>
      <c r="J1881">
        <v>8</v>
      </c>
      <c r="L1881">
        <v>4</v>
      </c>
      <c r="M1881">
        <v>12</v>
      </c>
      <c r="N1881">
        <v>4</v>
      </c>
      <c r="O1881">
        <v>2</v>
      </c>
      <c r="P1881">
        <v>58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  <c r="AC1881">
        <v>58</v>
      </c>
    </row>
    <row r="1882" spans="1:29">
      <c r="A1882">
        <v>1875</v>
      </c>
      <c r="B1882">
        <v>4065</v>
      </c>
      <c r="C1882" t="s">
        <v>4152</v>
      </c>
      <c r="D1882" t="s">
        <v>4153</v>
      </c>
      <c r="E1882" t="s">
        <v>122</v>
      </c>
      <c r="F1882" t="s">
        <v>4154</v>
      </c>
      <c r="G1882" t="str">
        <f>"201511004593"</f>
        <v>201511004593</v>
      </c>
      <c r="H1882">
        <v>40</v>
      </c>
      <c r="I1882">
        <v>0</v>
      </c>
      <c r="J1882">
        <v>8</v>
      </c>
      <c r="L1882">
        <v>4</v>
      </c>
      <c r="M1882">
        <v>12</v>
      </c>
      <c r="N1882">
        <v>4</v>
      </c>
      <c r="O1882">
        <v>2</v>
      </c>
      <c r="P1882">
        <v>58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>
        <v>0</v>
      </c>
      <c r="AA1882">
        <v>0</v>
      </c>
      <c r="AC1882">
        <v>58</v>
      </c>
    </row>
    <row r="1883" spans="1:29">
      <c r="A1883">
        <v>1876</v>
      </c>
      <c r="B1883">
        <v>3633</v>
      </c>
      <c r="C1883" t="s">
        <v>4156</v>
      </c>
      <c r="D1883" t="s">
        <v>4157</v>
      </c>
      <c r="E1883" t="s">
        <v>79</v>
      </c>
      <c r="F1883" t="s">
        <v>4158</v>
      </c>
      <c r="G1883" t="str">
        <f>"00865169"</f>
        <v>00865169</v>
      </c>
      <c r="H1883">
        <v>40</v>
      </c>
      <c r="I1883">
        <v>0</v>
      </c>
      <c r="J1883">
        <v>8</v>
      </c>
      <c r="K1883">
        <v>6</v>
      </c>
      <c r="M1883">
        <v>14</v>
      </c>
      <c r="N1883">
        <v>4</v>
      </c>
      <c r="O1883">
        <v>0</v>
      </c>
      <c r="P1883">
        <v>58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  <c r="AC1883">
        <v>58</v>
      </c>
    </row>
    <row r="1884" spans="1:29">
      <c r="A1884">
        <v>1877</v>
      </c>
      <c r="B1884">
        <v>648</v>
      </c>
      <c r="C1884" t="s">
        <v>4159</v>
      </c>
      <c r="D1884" t="s">
        <v>3960</v>
      </c>
      <c r="E1884" t="s">
        <v>337</v>
      </c>
      <c r="F1884" t="s">
        <v>4160</v>
      </c>
      <c r="G1884" t="str">
        <f>"201512003595"</f>
        <v>201512003595</v>
      </c>
      <c r="H1884">
        <v>40</v>
      </c>
      <c r="I1884">
        <v>0</v>
      </c>
      <c r="J1884">
        <v>8</v>
      </c>
      <c r="L1884">
        <v>4</v>
      </c>
      <c r="M1884">
        <v>12</v>
      </c>
      <c r="N1884">
        <v>4</v>
      </c>
      <c r="O1884">
        <v>2</v>
      </c>
      <c r="P1884">
        <v>58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0</v>
      </c>
      <c r="AC1884">
        <v>58</v>
      </c>
    </row>
    <row r="1885" spans="1:29">
      <c r="A1885">
        <v>1878</v>
      </c>
      <c r="B1885">
        <v>4126</v>
      </c>
      <c r="C1885" t="s">
        <v>4163</v>
      </c>
      <c r="D1885" t="s">
        <v>159</v>
      </c>
      <c r="E1885" t="s">
        <v>79</v>
      </c>
      <c r="F1885" t="s">
        <v>4164</v>
      </c>
      <c r="G1885" t="str">
        <f>"201504000973"</f>
        <v>201504000973</v>
      </c>
      <c r="H1885">
        <v>36</v>
      </c>
      <c r="I1885">
        <v>0</v>
      </c>
      <c r="M1885">
        <v>0</v>
      </c>
      <c r="N1885">
        <v>4</v>
      </c>
      <c r="O1885">
        <v>2</v>
      </c>
      <c r="P1885">
        <v>42</v>
      </c>
      <c r="Q1885">
        <v>16</v>
      </c>
      <c r="R1885">
        <v>16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16</v>
      </c>
      <c r="Z1885">
        <v>0</v>
      </c>
      <c r="AA1885">
        <v>0</v>
      </c>
      <c r="AC1885">
        <v>58</v>
      </c>
    </row>
    <row r="1886" spans="1:29">
      <c r="A1886">
        <v>1879</v>
      </c>
      <c r="B1886">
        <v>2313</v>
      </c>
      <c r="C1886" t="s">
        <v>4165</v>
      </c>
      <c r="D1886" t="s">
        <v>179</v>
      </c>
      <c r="E1886" t="s">
        <v>122</v>
      </c>
      <c r="F1886" t="s">
        <v>4166</v>
      </c>
      <c r="G1886" t="str">
        <f>"00531591"</f>
        <v>00531591</v>
      </c>
      <c r="H1886">
        <v>36</v>
      </c>
      <c r="I1886">
        <v>0</v>
      </c>
      <c r="M1886">
        <v>0</v>
      </c>
      <c r="N1886">
        <v>0</v>
      </c>
      <c r="O1886">
        <v>0</v>
      </c>
      <c r="P1886">
        <v>36</v>
      </c>
      <c r="Q1886">
        <v>22</v>
      </c>
      <c r="R1886">
        <v>22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22</v>
      </c>
      <c r="Z1886">
        <v>0</v>
      </c>
      <c r="AA1886">
        <v>0</v>
      </c>
      <c r="AC1886">
        <v>58</v>
      </c>
    </row>
    <row r="1887" spans="1:29">
      <c r="A1887">
        <v>1880</v>
      </c>
      <c r="B1887">
        <v>1385</v>
      </c>
      <c r="C1887" t="s">
        <v>4167</v>
      </c>
      <c r="D1887" t="s">
        <v>2014</v>
      </c>
      <c r="E1887" t="s">
        <v>156</v>
      </c>
      <c r="F1887" t="s">
        <v>4168</v>
      </c>
      <c r="G1887" t="str">
        <f>"00531951"</f>
        <v>00531951</v>
      </c>
      <c r="H1887">
        <v>31</v>
      </c>
      <c r="I1887">
        <v>0</v>
      </c>
      <c r="M1887">
        <v>0</v>
      </c>
      <c r="N1887">
        <v>4</v>
      </c>
      <c r="O1887">
        <v>0</v>
      </c>
      <c r="P1887">
        <v>35</v>
      </c>
      <c r="Q1887">
        <v>23</v>
      </c>
      <c r="R1887">
        <v>23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23</v>
      </c>
      <c r="Z1887">
        <v>0</v>
      </c>
      <c r="AA1887">
        <v>0</v>
      </c>
      <c r="AC1887">
        <v>58</v>
      </c>
    </row>
    <row r="1888" spans="1:29">
      <c r="A1888">
        <v>1881</v>
      </c>
      <c r="B1888">
        <v>2795</v>
      </c>
      <c r="C1888" t="s">
        <v>4169</v>
      </c>
      <c r="D1888" t="s">
        <v>130</v>
      </c>
      <c r="E1888" t="s">
        <v>53</v>
      </c>
      <c r="F1888" t="s">
        <v>4170</v>
      </c>
      <c r="G1888" t="str">
        <f>"00638588"</f>
        <v>00638588</v>
      </c>
      <c r="H1888">
        <v>28.8</v>
      </c>
      <c r="I1888">
        <v>10</v>
      </c>
      <c r="K1888">
        <v>6</v>
      </c>
      <c r="L1888">
        <v>4</v>
      </c>
      <c r="M1888">
        <v>10</v>
      </c>
      <c r="N1888">
        <v>4</v>
      </c>
      <c r="O1888">
        <v>2</v>
      </c>
      <c r="P1888">
        <v>54.8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3</v>
      </c>
      <c r="AA1888">
        <v>0</v>
      </c>
      <c r="AC1888">
        <v>57.8</v>
      </c>
    </row>
    <row r="1889" spans="1:29">
      <c r="A1889">
        <v>1882</v>
      </c>
      <c r="B1889">
        <v>3793</v>
      </c>
      <c r="C1889" t="s">
        <v>4171</v>
      </c>
      <c r="D1889" t="s">
        <v>295</v>
      </c>
      <c r="E1889" t="s">
        <v>922</v>
      </c>
      <c r="F1889" t="s">
        <v>4172</v>
      </c>
      <c r="G1889" t="str">
        <f>"00506975"</f>
        <v>00506975</v>
      </c>
      <c r="H1889">
        <v>32.799999999999997</v>
      </c>
      <c r="I1889">
        <v>0</v>
      </c>
      <c r="J1889">
        <v>8</v>
      </c>
      <c r="M1889">
        <v>8</v>
      </c>
      <c r="N1889">
        <v>4</v>
      </c>
      <c r="O1889">
        <v>2</v>
      </c>
      <c r="P1889">
        <v>46.8</v>
      </c>
      <c r="Q1889">
        <v>11</v>
      </c>
      <c r="R1889">
        <v>11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11</v>
      </c>
      <c r="Z1889">
        <v>0</v>
      </c>
      <c r="AA1889">
        <v>0</v>
      </c>
      <c r="AC1889">
        <v>57.8</v>
      </c>
    </row>
    <row r="1890" spans="1:29">
      <c r="A1890">
        <v>1883</v>
      </c>
      <c r="B1890">
        <v>3742</v>
      </c>
      <c r="C1890" t="s">
        <v>4173</v>
      </c>
      <c r="D1890" t="s">
        <v>784</v>
      </c>
      <c r="E1890" t="s">
        <v>32</v>
      </c>
      <c r="F1890" t="s">
        <v>4174</v>
      </c>
      <c r="G1890" t="str">
        <f>"00450214"</f>
        <v>00450214</v>
      </c>
      <c r="H1890">
        <v>25.8</v>
      </c>
      <c r="I1890">
        <v>10</v>
      </c>
      <c r="M1890">
        <v>0</v>
      </c>
      <c r="N1890">
        <v>4</v>
      </c>
      <c r="O1890">
        <v>0</v>
      </c>
      <c r="P1890">
        <v>39.799999999999997</v>
      </c>
      <c r="Q1890">
        <v>18</v>
      </c>
      <c r="R1890">
        <v>18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18</v>
      </c>
      <c r="Z1890">
        <v>0</v>
      </c>
      <c r="AA1890">
        <v>0</v>
      </c>
      <c r="AC1890">
        <v>57.8</v>
      </c>
    </row>
    <row r="1891" spans="1:29">
      <c r="A1891">
        <v>1884</v>
      </c>
      <c r="B1891">
        <v>2799</v>
      </c>
      <c r="C1891" t="s">
        <v>45</v>
      </c>
      <c r="D1891" t="s">
        <v>1465</v>
      </c>
      <c r="E1891" t="s">
        <v>28</v>
      </c>
      <c r="F1891" t="s">
        <v>4175</v>
      </c>
      <c r="G1891" t="str">
        <f>"00484646"</f>
        <v>00484646</v>
      </c>
      <c r="H1891">
        <v>16.8</v>
      </c>
      <c r="I1891">
        <v>0</v>
      </c>
      <c r="M1891">
        <v>0</v>
      </c>
      <c r="N1891">
        <v>0</v>
      </c>
      <c r="O1891">
        <v>2</v>
      </c>
      <c r="P1891">
        <v>18.8</v>
      </c>
      <c r="Q1891">
        <v>39</v>
      </c>
      <c r="R1891">
        <v>39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39</v>
      </c>
      <c r="Z1891">
        <v>0</v>
      </c>
      <c r="AA1891">
        <v>0</v>
      </c>
      <c r="AC1891">
        <v>57.8</v>
      </c>
    </row>
    <row r="1892" spans="1:29">
      <c r="A1892">
        <v>1885</v>
      </c>
      <c r="B1892">
        <v>3950</v>
      </c>
      <c r="C1892" t="s">
        <v>4176</v>
      </c>
      <c r="D1892" t="s">
        <v>39</v>
      </c>
      <c r="E1892" t="s">
        <v>28</v>
      </c>
      <c r="F1892" t="s">
        <v>4177</v>
      </c>
      <c r="G1892" t="str">
        <f>"201406000175"</f>
        <v>201406000175</v>
      </c>
      <c r="H1892">
        <v>37.72</v>
      </c>
      <c r="I1892">
        <v>0</v>
      </c>
      <c r="L1892">
        <v>4</v>
      </c>
      <c r="M1892">
        <v>4</v>
      </c>
      <c r="N1892">
        <v>4</v>
      </c>
      <c r="O1892">
        <v>2</v>
      </c>
      <c r="P1892">
        <v>47.72</v>
      </c>
      <c r="Q1892">
        <v>7</v>
      </c>
      <c r="R1892">
        <v>7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7</v>
      </c>
      <c r="Z1892">
        <v>3</v>
      </c>
      <c r="AA1892">
        <v>0</v>
      </c>
      <c r="AC1892">
        <v>57.72</v>
      </c>
    </row>
    <row r="1893" spans="1:29">
      <c r="A1893">
        <v>1886</v>
      </c>
      <c r="B1893">
        <v>4670</v>
      </c>
      <c r="C1893" t="s">
        <v>2175</v>
      </c>
      <c r="D1893" t="s">
        <v>20</v>
      </c>
      <c r="E1893" t="s">
        <v>237</v>
      </c>
      <c r="F1893" t="s">
        <v>4178</v>
      </c>
      <c r="G1893" t="str">
        <f>"201511025857"</f>
        <v>201511025857</v>
      </c>
      <c r="H1893">
        <v>33.68</v>
      </c>
      <c r="I1893">
        <v>0</v>
      </c>
      <c r="K1893">
        <v>6</v>
      </c>
      <c r="M1893">
        <v>6</v>
      </c>
      <c r="N1893">
        <v>4</v>
      </c>
      <c r="O1893">
        <v>2</v>
      </c>
      <c r="P1893">
        <v>45.68</v>
      </c>
      <c r="Q1893">
        <v>12</v>
      </c>
      <c r="R1893">
        <v>12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12</v>
      </c>
      <c r="Z1893">
        <v>0</v>
      </c>
      <c r="AA1893">
        <v>0</v>
      </c>
      <c r="AC1893">
        <v>57.68</v>
      </c>
    </row>
    <row r="1894" spans="1:29">
      <c r="A1894">
        <v>1887</v>
      </c>
      <c r="B1894">
        <v>3809</v>
      </c>
      <c r="C1894" t="s">
        <v>4179</v>
      </c>
      <c r="D1894" t="s">
        <v>1138</v>
      </c>
      <c r="E1894" t="s">
        <v>15</v>
      </c>
      <c r="F1894" t="s">
        <v>4180</v>
      </c>
      <c r="G1894" t="str">
        <f>"00483943"</f>
        <v>00483943</v>
      </c>
      <c r="H1894">
        <v>21.6</v>
      </c>
      <c r="I1894">
        <v>0</v>
      </c>
      <c r="L1894">
        <v>4</v>
      </c>
      <c r="M1894">
        <v>4</v>
      </c>
      <c r="N1894">
        <v>4</v>
      </c>
      <c r="O1894">
        <v>2</v>
      </c>
      <c r="P1894">
        <v>31.6</v>
      </c>
      <c r="Q1894">
        <v>17</v>
      </c>
      <c r="R1894">
        <v>17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17</v>
      </c>
      <c r="Z1894">
        <v>9</v>
      </c>
      <c r="AA1894">
        <v>0</v>
      </c>
      <c r="AC1894">
        <v>57.6</v>
      </c>
    </row>
    <row r="1895" spans="1:29">
      <c r="A1895">
        <v>1888</v>
      </c>
      <c r="B1895">
        <v>1967</v>
      </c>
      <c r="C1895" t="s">
        <v>4183</v>
      </c>
      <c r="D1895" t="s">
        <v>52</v>
      </c>
      <c r="E1895" t="s">
        <v>134</v>
      </c>
      <c r="F1895" t="s">
        <v>4184</v>
      </c>
      <c r="G1895" t="str">
        <f>"201405001893"</f>
        <v>201405001893</v>
      </c>
      <c r="H1895">
        <v>39.6</v>
      </c>
      <c r="I1895">
        <v>0</v>
      </c>
      <c r="K1895">
        <v>6</v>
      </c>
      <c r="M1895">
        <v>6</v>
      </c>
      <c r="N1895">
        <v>4</v>
      </c>
      <c r="O1895">
        <v>2</v>
      </c>
      <c r="P1895">
        <v>51.6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6</v>
      </c>
      <c r="AA1895">
        <v>0</v>
      </c>
      <c r="AC1895">
        <v>57.6</v>
      </c>
    </row>
    <row r="1896" spans="1:29">
      <c r="A1896">
        <v>1889</v>
      </c>
      <c r="B1896">
        <v>1115</v>
      </c>
      <c r="C1896" t="s">
        <v>4181</v>
      </c>
      <c r="D1896" t="s">
        <v>137</v>
      </c>
      <c r="E1896" t="s">
        <v>134</v>
      </c>
      <c r="F1896" t="s">
        <v>4182</v>
      </c>
      <c r="G1896" t="str">
        <f>"00857615"</f>
        <v>00857615</v>
      </c>
      <c r="H1896">
        <v>39.6</v>
      </c>
      <c r="I1896">
        <v>0</v>
      </c>
      <c r="J1896">
        <v>8</v>
      </c>
      <c r="M1896">
        <v>8</v>
      </c>
      <c r="N1896">
        <v>4</v>
      </c>
      <c r="O1896">
        <v>0</v>
      </c>
      <c r="P1896">
        <v>51.6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6</v>
      </c>
      <c r="AA1896">
        <v>0</v>
      </c>
      <c r="AC1896">
        <v>57.6</v>
      </c>
    </row>
    <row r="1897" spans="1:29">
      <c r="A1897">
        <v>1890</v>
      </c>
      <c r="B1897">
        <v>4115</v>
      </c>
      <c r="C1897" t="s">
        <v>4185</v>
      </c>
      <c r="D1897" t="s">
        <v>130</v>
      </c>
      <c r="E1897" t="s">
        <v>355</v>
      </c>
      <c r="F1897" t="s">
        <v>4186</v>
      </c>
      <c r="G1897" t="str">
        <f>"00532904"</f>
        <v>00532904</v>
      </c>
      <c r="H1897">
        <v>21.6</v>
      </c>
      <c r="I1897">
        <v>0</v>
      </c>
      <c r="K1897">
        <v>6</v>
      </c>
      <c r="M1897">
        <v>6</v>
      </c>
      <c r="N1897">
        <v>4</v>
      </c>
      <c r="O1897">
        <v>2</v>
      </c>
      <c r="P1897">
        <v>33.6</v>
      </c>
      <c r="Q1897">
        <v>8</v>
      </c>
      <c r="R1897">
        <v>8</v>
      </c>
      <c r="S1897">
        <v>0</v>
      </c>
      <c r="T1897">
        <v>0</v>
      </c>
      <c r="U1897">
        <v>7</v>
      </c>
      <c r="V1897">
        <v>10</v>
      </c>
      <c r="W1897">
        <v>0</v>
      </c>
      <c r="X1897">
        <v>0</v>
      </c>
      <c r="Y1897">
        <v>18</v>
      </c>
      <c r="Z1897">
        <v>6</v>
      </c>
      <c r="AA1897">
        <v>0</v>
      </c>
      <c r="AC1897">
        <v>57.6</v>
      </c>
    </row>
    <row r="1898" spans="1:29">
      <c r="A1898">
        <v>1891</v>
      </c>
      <c r="B1898">
        <v>11</v>
      </c>
      <c r="C1898" t="s">
        <v>4202</v>
      </c>
      <c r="D1898" t="s">
        <v>739</v>
      </c>
      <c r="E1898" t="s">
        <v>18</v>
      </c>
      <c r="F1898" t="s">
        <v>4203</v>
      </c>
      <c r="G1898" t="str">
        <f>"00764758"</f>
        <v>00764758</v>
      </c>
      <c r="H1898">
        <v>57.6</v>
      </c>
      <c r="I1898">
        <v>0</v>
      </c>
      <c r="M1898">
        <v>0</v>
      </c>
      <c r="N1898">
        <v>0</v>
      </c>
      <c r="O1898">
        <v>0</v>
      </c>
      <c r="P1898">
        <v>57.6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0</v>
      </c>
      <c r="AC1898">
        <v>57.6</v>
      </c>
    </row>
    <row r="1899" spans="1:29">
      <c r="A1899">
        <v>1892</v>
      </c>
      <c r="B1899">
        <v>3516</v>
      </c>
      <c r="C1899" t="s">
        <v>4192</v>
      </c>
      <c r="D1899" t="s">
        <v>784</v>
      </c>
      <c r="E1899" t="s">
        <v>369</v>
      </c>
      <c r="F1899" t="s">
        <v>4193</v>
      </c>
      <c r="G1899" t="str">
        <f>"00487171"</f>
        <v>00487171</v>
      </c>
      <c r="H1899">
        <v>57.6</v>
      </c>
      <c r="I1899">
        <v>0</v>
      </c>
      <c r="M1899">
        <v>0</v>
      </c>
      <c r="N1899">
        <v>0</v>
      </c>
      <c r="O1899">
        <v>0</v>
      </c>
      <c r="P1899">
        <v>57.6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C1899">
        <v>57.6</v>
      </c>
    </row>
    <row r="1900" spans="1:29">
      <c r="A1900">
        <v>1893</v>
      </c>
      <c r="B1900">
        <v>323</v>
      </c>
      <c r="C1900" t="s">
        <v>4188</v>
      </c>
      <c r="D1900" t="s">
        <v>242</v>
      </c>
      <c r="E1900" t="s">
        <v>18</v>
      </c>
      <c r="F1900" t="s">
        <v>4189</v>
      </c>
      <c r="G1900" t="str">
        <f>"00857040"</f>
        <v>00857040</v>
      </c>
      <c r="H1900">
        <v>57.6</v>
      </c>
      <c r="I1900">
        <v>0</v>
      </c>
      <c r="M1900">
        <v>0</v>
      </c>
      <c r="N1900">
        <v>0</v>
      </c>
      <c r="O1900">
        <v>0</v>
      </c>
      <c r="P1900">
        <v>57.6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  <c r="AC1900">
        <v>57.6</v>
      </c>
    </row>
    <row r="1901" spans="1:29">
      <c r="A1901">
        <v>1894</v>
      </c>
      <c r="B1901">
        <v>3470</v>
      </c>
      <c r="C1901" t="s">
        <v>4204</v>
      </c>
      <c r="D1901" t="s">
        <v>52</v>
      </c>
      <c r="E1901" t="s">
        <v>15</v>
      </c>
      <c r="F1901" t="s">
        <v>4205</v>
      </c>
      <c r="G1901" t="str">
        <f>"00864951"</f>
        <v>00864951</v>
      </c>
      <c r="H1901">
        <v>57.6</v>
      </c>
      <c r="I1901">
        <v>0</v>
      </c>
      <c r="M1901">
        <v>0</v>
      </c>
      <c r="N1901">
        <v>0</v>
      </c>
      <c r="O1901">
        <v>0</v>
      </c>
      <c r="P1901">
        <v>57.6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C1901">
        <v>57.6</v>
      </c>
    </row>
    <row r="1902" spans="1:29">
      <c r="A1902">
        <v>1895</v>
      </c>
      <c r="B1902">
        <v>4580</v>
      </c>
      <c r="C1902" t="s">
        <v>4194</v>
      </c>
      <c r="D1902" t="s">
        <v>113</v>
      </c>
      <c r="E1902" t="s">
        <v>36</v>
      </c>
      <c r="F1902" t="s">
        <v>4195</v>
      </c>
      <c r="G1902" t="str">
        <f>"00820154"</f>
        <v>00820154</v>
      </c>
      <c r="H1902">
        <v>57.6</v>
      </c>
      <c r="I1902">
        <v>0</v>
      </c>
      <c r="M1902">
        <v>0</v>
      </c>
      <c r="N1902">
        <v>0</v>
      </c>
      <c r="O1902">
        <v>0</v>
      </c>
      <c r="P1902">
        <v>57.6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C1902">
        <v>57.6</v>
      </c>
    </row>
    <row r="1903" spans="1:29">
      <c r="A1903">
        <v>1896</v>
      </c>
      <c r="B1903">
        <v>3529</v>
      </c>
      <c r="C1903" t="s">
        <v>4199</v>
      </c>
      <c r="D1903" t="s">
        <v>276</v>
      </c>
      <c r="E1903" t="s">
        <v>4200</v>
      </c>
      <c r="F1903" t="s">
        <v>4201</v>
      </c>
      <c r="G1903" t="str">
        <f>"00638305"</f>
        <v>00638305</v>
      </c>
      <c r="H1903">
        <v>57.6</v>
      </c>
      <c r="I1903">
        <v>0</v>
      </c>
      <c r="M1903">
        <v>0</v>
      </c>
      <c r="N1903">
        <v>0</v>
      </c>
      <c r="O1903">
        <v>0</v>
      </c>
      <c r="P1903">
        <v>57.6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C1903">
        <v>57.6</v>
      </c>
    </row>
    <row r="1904" spans="1:29">
      <c r="A1904">
        <v>1897</v>
      </c>
      <c r="B1904">
        <v>3680</v>
      </c>
      <c r="C1904" t="s">
        <v>4190</v>
      </c>
      <c r="D1904" t="s">
        <v>31</v>
      </c>
      <c r="E1904" t="s">
        <v>134</v>
      </c>
      <c r="F1904" t="s">
        <v>4191</v>
      </c>
      <c r="G1904" t="str">
        <f>"00862062"</f>
        <v>00862062</v>
      </c>
      <c r="H1904">
        <v>57.6</v>
      </c>
      <c r="I1904">
        <v>0</v>
      </c>
      <c r="M1904">
        <v>0</v>
      </c>
      <c r="N1904">
        <v>0</v>
      </c>
      <c r="O1904">
        <v>0</v>
      </c>
      <c r="P1904">
        <v>57.6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C1904">
        <v>57.6</v>
      </c>
    </row>
    <row r="1905" spans="1:29">
      <c r="A1905">
        <v>1898</v>
      </c>
      <c r="B1905">
        <v>546</v>
      </c>
      <c r="C1905" t="s">
        <v>178</v>
      </c>
      <c r="D1905" t="s">
        <v>1577</v>
      </c>
      <c r="E1905" t="s">
        <v>1020</v>
      </c>
      <c r="F1905" t="s">
        <v>4187</v>
      </c>
      <c r="G1905" t="str">
        <f>"00856730"</f>
        <v>00856730</v>
      </c>
      <c r="H1905">
        <v>57.6</v>
      </c>
      <c r="I1905">
        <v>0</v>
      </c>
      <c r="M1905">
        <v>0</v>
      </c>
      <c r="N1905">
        <v>0</v>
      </c>
      <c r="O1905">
        <v>0</v>
      </c>
      <c r="P1905">
        <v>57.6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  <c r="AC1905">
        <v>57.6</v>
      </c>
    </row>
    <row r="1906" spans="1:29">
      <c r="A1906">
        <v>1899</v>
      </c>
      <c r="B1906">
        <v>3189</v>
      </c>
      <c r="C1906" t="s">
        <v>4196</v>
      </c>
      <c r="D1906" t="s">
        <v>27</v>
      </c>
      <c r="E1906" t="s">
        <v>4197</v>
      </c>
      <c r="F1906" t="s">
        <v>4198</v>
      </c>
      <c r="G1906" t="str">
        <f>"00555560"</f>
        <v>00555560</v>
      </c>
      <c r="H1906">
        <v>57.6</v>
      </c>
      <c r="I1906">
        <v>0</v>
      </c>
      <c r="M1906">
        <v>0</v>
      </c>
      <c r="N1906">
        <v>0</v>
      </c>
      <c r="O1906">
        <v>0</v>
      </c>
      <c r="P1906">
        <v>57.6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0</v>
      </c>
      <c r="AC1906">
        <v>57.6</v>
      </c>
    </row>
    <row r="1907" spans="1:29">
      <c r="A1907">
        <v>1900</v>
      </c>
      <c r="B1907">
        <v>259</v>
      </c>
      <c r="C1907" t="s">
        <v>4206</v>
      </c>
      <c r="D1907" t="s">
        <v>784</v>
      </c>
      <c r="E1907" t="s">
        <v>322</v>
      </c>
      <c r="F1907" t="s">
        <v>4207</v>
      </c>
      <c r="G1907" t="str">
        <f>"00142357"</f>
        <v>00142357</v>
      </c>
      <c r="H1907">
        <v>39.6</v>
      </c>
      <c r="I1907">
        <v>10</v>
      </c>
      <c r="L1907">
        <v>4</v>
      </c>
      <c r="M1907">
        <v>4</v>
      </c>
      <c r="N1907">
        <v>4</v>
      </c>
      <c r="O1907">
        <v>0</v>
      </c>
      <c r="P1907">
        <v>57.6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0</v>
      </c>
      <c r="AC1907">
        <v>57.6</v>
      </c>
    </row>
    <row r="1908" spans="1:29">
      <c r="A1908">
        <v>1901</v>
      </c>
      <c r="B1908">
        <v>3586</v>
      </c>
      <c r="C1908" t="s">
        <v>4208</v>
      </c>
      <c r="D1908" t="s">
        <v>31</v>
      </c>
      <c r="E1908" t="s">
        <v>66</v>
      </c>
      <c r="F1908" t="s">
        <v>4209</v>
      </c>
      <c r="G1908" t="str">
        <f>"201412004293"</f>
        <v>201412004293</v>
      </c>
      <c r="H1908">
        <v>39.6</v>
      </c>
      <c r="I1908">
        <v>0</v>
      </c>
      <c r="J1908">
        <v>8</v>
      </c>
      <c r="K1908">
        <v>6</v>
      </c>
      <c r="M1908">
        <v>14</v>
      </c>
      <c r="N1908">
        <v>4</v>
      </c>
      <c r="O1908">
        <v>0</v>
      </c>
      <c r="P1908">
        <v>57.6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C1908">
        <v>57.6</v>
      </c>
    </row>
    <row r="1909" spans="1:29">
      <c r="A1909">
        <v>1902</v>
      </c>
      <c r="B1909">
        <v>4721</v>
      </c>
      <c r="C1909" t="s">
        <v>2348</v>
      </c>
      <c r="D1909" t="s">
        <v>1187</v>
      </c>
      <c r="E1909" t="s">
        <v>134</v>
      </c>
      <c r="F1909" t="s">
        <v>4210</v>
      </c>
      <c r="G1909" t="str">
        <f>"201512003304"</f>
        <v>201512003304</v>
      </c>
      <c r="H1909">
        <v>39.6</v>
      </c>
      <c r="I1909">
        <v>0</v>
      </c>
      <c r="M1909">
        <v>0</v>
      </c>
      <c r="N1909">
        <v>4</v>
      </c>
      <c r="O1909">
        <v>2</v>
      </c>
      <c r="P1909">
        <v>45.6</v>
      </c>
      <c r="Q1909">
        <v>12</v>
      </c>
      <c r="R1909">
        <v>12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12</v>
      </c>
      <c r="Z1909">
        <v>0</v>
      </c>
      <c r="AA1909">
        <v>0</v>
      </c>
      <c r="AC1909">
        <v>57.6</v>
      </c>
    </row>
    <row r="1910" spans="1:29">
      <c r="A1910">
        <v>1903</v>
      </c>
      <c r="B1910">
        <v>2421</v>
      </c>
      <c r="C1910" t="s">
        <v>4211</v>
      </c>
      <c r="D1910" t="s">
        <v>86</v>
      </c>
      <c r="E1910" t="s">
        <v>28</v>
      </c>
      <c r="F1910" t="s">
        <v>4212</v>
      </c>
      <c r="G1910" t="str">
        <f>"00456089"</f>
        <v>00456089</v>
      </c>
      <c r="H1910">
        <v>21.6</v>
      </c>
      <c r="I1910">
        <v>0</v>
      </c>
      <c r="L1910">
        <v>4</v>
      </c>
      <c r="M1910">
        <v>4</v>
      </c>
      <c r="N1910">
        <v>4</v>
      </c>
      <c r="O1910">
        <v>2</v>
      </c>
      <c r="P1910">
        <v>31.6</v>
      </c>
      <c r="Q1910">
        <v>8</v>
      </c>
      <c r="R1910">
        <v>8</v>
      </c>
      <c r="S1910">
        <v>9</v>
      </c>
      <c r="T1910">
        <v>18</v>
      </c>
      <c r="U1910">
        <v>0</v>
      </c>
      <c r="V1910">
        <v>0</v>
      </c>
      <c r="W1910">
        <v>0</v>
      </c>
      <c r="X1910">
        <v>0</v>
      </c>
      <c r="Y1910">
        <v>26</v>
      </c>
      <c r="Z1910">
        <v>0</v>
      </c>
      <c r="AA1910">
        <v>0</v>
      </c>
      <c r="AC1910">
        <v>57.6</v>
      </c>
    </row>
    <row r="1911" spans="1:29">
      <c r="A1911">
        <v>1904</v>
      </c>
      <c r="B1911">
        <v>1339</v>
      </c>
      <c r="C1911" t="s">
        <v>1605</v>
      </c>
      <c r="D1911" t="s">
        <v>175</v>
      </c>
      <c r="E1911" t="s">
        <v>134</v>
      </c>
      <c r="F1911" t="s">
        <v>4213</v>
      </c>
      <c r="G1911" t="str">
        <f>"00509351"</f>
        <v>00509351</v>
      </c>
      <c r="H1911">
        <v>23.48</v>
      </c>
      <c r="I1911">
        <v>0</v>
      </c>
      <c r="M1911">
        <v>0</v>
      </c>
      <c r="N1911">
        <v>0</v>
      </c>
      <c r="O1911">
        <v>0</v>
      </c>
      <c r="P1911">
        <v>23.48</v>
      </c>
      <c r="Q1911">
        <v>28</v>
      </c>
      <c r="R1911">
        <v>28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28</v>
      </c>
      <c r="Z1911">
        <v>6</v>
      </c>
      <c r="AA1911">
        <v>0</v>
      </c>
      <c r="AC1911">
        <v>57.48</v>
      </c>
    </row>
    <row r="1912" spans="1:29">
      <c r="A1912">
        <v>1905</v>
      </c>
      <c r="B1912">
        <v>3203</v>
      </c>
      <c r="C1912" t="s">
        <v>4214</v>
      </c>
      <c r="D1912" t="s">
        <v>784</v>
      </c>
      <c r="E1912" t="s">
        <v>66</v>
      </c>
      <c r="F1912" t="s">
        <v>4215</v>
      </c>
      <c r="G1912" t="str">
        <f>"00531337"</f>
        <v>00531337</v>
      </c>
      <c r="H1912">
        <v>33.44</v>
      </c>
      <c r="I1912">
        <v>0</v>
      </c>
      <c r="M1912">
        <v>0</v>
      </c>
      <c r="N1912">
        <v>4</v>
      </c>
      <c r="O1912">
        <v>2</v>
      </c>
      <c r="P1912">
        <v>39.44</v>
      </c>
      <c r="Q1912">
        <v>18</v>
      </c>
      <c r="R1912">
        <v>18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18</v>
      </c>
      <c r="Z1912">
        <v>0</v>
      </c>
      <c r="AA1912">
        <v>0</v>
      </c>
      <c r="AC1912">
        <v>57.44</v>
      </c>
    </row>
    <row r="1913" spans="1:29">
      <c r="A1913">
        <v>1906</v>
      </c>
      <c r="B1913">
        <v>3868</v>
      </c>
      <c r="C1913" t="s">
        <v>1747</v>
      </c>
      <c r="D1913" t="s">
        <v>544</v>
      </c>
      <c r="E1913" t="s">
        <v>18</v>
      </c>
      <c r="F1913" t="s">
        <v>4216</v>
      </c>
      <c r="G1913" t="str">
        <f>"00746874"</f>
        <v>00746874</v>
      </c>
      <c r="H1913">
        <v>50.4</v>
      </c>
      <c r="I1913">
        <v>0</v>
      </c>
      <c r="M1913">
        <v>0</v>
      </c>
      <c r="N1913">
        <v>4</v>
      </c>
      <c r="O1913">
        <v>0</v>
      </c>
      <c r="P1913">
        <v>54.4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3</v>
      </c>
      <c r="AA1913">
        <v>0</v>
      </c>
      <c r="AC1913">
        <v>57.4</v>
      </c>
    </row>
    <row r="1914" spans="1:29">
      <c r="A1914">
        <v>1907</v>
      </c>
      <c r="B1914">
        <v>1432</v>
      </c>
      <c r="C1914" t="s">
        <v>1007</v>
      </c>
      <c r="D1914" t="s">
        <v>465</v>
      </c>
      <c r="E1914" t="s">
        <v>1020</v>
      </c>
      <c r="F1914" t="s">
        <v>4217</v>
      </c>
      <c r="G1914" t="str">
        <f>"00556613"</f>
        <v>00556613</v>
      </c>
      <c r="H1914">
        <v>50.4</v>
      </c>
      <c r="I1914">
        <v>0</v>
      </c>
      <c r="M1914">
        <v>0</v>
      </c>
      <c r="N1914">
        <v>4</v>
      </c>
      <c r="O1914">
        <v>0</v>
      </c>
      <c r="P1914">
        <v>54.4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3</v>
      </c>
      <c r="AA1914">
        <v>0</v>
      </c>
      <c r="AC1914">
        <v>57.4</v>
      </c>
    </row>
    <row r="1915" spans="1:29">
      <c r="A1915">
        <v>1908</v>
      </c>
      <c r="B1915">
        <v>3483</v>
      </c>
      <c r="C1915" t="s">
        <v>4218</v>
      </c>
      <c r="D1915" t="s">
        <v>27</v>
      </c>
      <c r="E1915" t="s">
        <v>79</v>
      </c>
      <c r="F1915" t="s">
        <v>4219</v>
      </c>
      <c r="G1915" t="str">
        <f>"00484204"</f>
        <v>00484204</v>
      </c>
      <c r="H1915">
        <v>14.4</v>
      </c>
      <c r="I1915">
        <v>0</v>
      </c>
      <c r="K1915">
        <v>6</v>
      </c>
      <c r="M1915">
        <v>6</v>
      </c>
      <c r="N1915">
        <v>4</v>
      </c>
      <c r="O1915">
        <v>2</v>
      </c>
      <c r="P1915">
        <v>26.4</v>
      </c>
      <c r="Q1915">
        <v>18</v>
      </c>
      <c r="R1915">
        <v>18</v>
      </c>
      <c r="S1915">
        <v>0</v>
      </c>
      <c r="T1915">
        <v>0</v>
      </c>
      <c r="U1915">
        <v>7</v>
      </c>
      <c r="V1915">
        <v>10</v>
      </c>
      <c r="W1915">
        <v>0</v>
      </c>
      <c r="X1915">
        <v>0</v>
      </c>
      <c r="Y1915">
        <v>28</v>
      </c>
      <c r="Z1915">
        <v>3</v>
      </c>
      <c r="AA1915">
        <v>0</v>
      </c>
      <c r="AC1915">
        <v>57.4</v>
      </c>
    </row>
    <row r="1916" spans="1:29">
      <c r="A1916">
        <v>1909</v>
      </c>
      <c r="B1916">
        <v>3548</v>
      </c>
      <c r="C1916" t="s">
        <v>4220</v>
      </c>
      <c r="D1916" t="s">
        <v>108</v>
      </c>
      <c r="E1916" t="s">
        <v>122</v>
      </c>
      <c r="F1916" t="s">
        <v>4221</v>
      </c>
      <c r="G1916" t="str">
        <f>"00494085"</f>
        <v>00494085</v>
      </c>
      <c r="H1916">
        <v>14.4</v>
      </c>
      <c r="I1916">
        <v>0</v>
      </c>
      <c r="M1916">
        <v>0</v>
      </c>
      <c r="N1916">
        <v>4</v>
      </c>
      <c r="O1916">
        <v>2</v>
      </c>
      <c r="P1916">
        <v>20.399999999999999</v>
      </c>
      <c r="Q1916">
        <v>37</v>
      </c>
      <c r="R1916">
        <v>37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37</v>
      </c>
      <c r="Z1916">
        <v>0</v>
      </c>
      <c r="AA1916">
        <v>0</v>
      </c>
      <c r="AC1916">
        <v>57.4</v>
      </c>
    </row>
    <row r="1917" spans="1:29">
      <c r="A1917">
        <v>1910</v>
      </c>
      <c r="B1917">
        <v>1264</v>
      </c>
      <c r="C1917" t="s">
        <v>2635</v>
      </c>
      <c r="D1917" t="s">
        <v>164</v>
      </c>
      <c r="E1917" t="s">
        <v>168</v>
      </c>
      <c r="F1917" t="s">
        <v>4222</v>
      </c>
      <c r="G1917" t="str">
        <f>"00511908"</f>
        <v>00511908</v>
      </c>
      <c r="H1917">
        <v>32.36</v>
      </c>
      <c r="I1917">
        <v>0</v>
      </c>
      <c r="M1917">
        <v>0</v>
      </c>
      <c r="N1917">
        <v>4</v>
      </c>
      <c r="O1917">
        <v>2</v>
      </c>
      <c r="P1917">
        <v>38.36</v>
      </c>
      <c r="Q1917">
        <v>16</v>
      </c>
      <c r="R1917">
        <v>16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16</v>
      </c>
      <c r="Z1917">
        <v>3</v>
      </c>
      <c r="AA1917">
        <v>0</v>
      </c>
      <c r="AC1917">
        <v>57.36</v>
      </c>
    </row>
    <row r="1918" spans="1:29">
      <c r="A1918">
        <v>1911</v>
      </c>
      <c r="B1918">
        <v>4358</v>
      </c>
      <c r="C1918" t="s">
        <v>4223</v>
      </c>
      <c r="D1918" t="s">
        <v>784</v>
      </c>
      <c r="E1918" t="s">
        <v>28</v>
      </c>
      <c r="F1918" t="s">
        <v>4224</v>
      </c>
      <c r="G1918" t="str">
        <f>"00483918"</f>
        <v>00483918</v>
      </c>
      <c r="H1918">
        <v>25.32</v>
      </c>
      <c r="I1918">
        <v>0</v>
      </c>
      <c r="M1918">
        <v>0</v>
      </c>
      <c r="N1918">
        <v>0</v>
      </c>
      <c r="O1918">
        <v>0</v>
      </c>
      <c r="P1918">
        <v>25.32</v>
      </c>
      <c r="Q1918">
        <v>32</v>
      </c>
      <c r="R1918">
        <v>32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32</v>
      </c>
      <c r="Z1918">
        <v>0</v>
      </c>
      <c r="AA1918">
        <v>0</v>
      </c>
      <c r="AC1918">
        <v>57.32</v>
      </c>
    </row>
    <row r="1919" spans="1:29">
      <c r="A1919">
        <v>1912</v>
      </c>
      <c r="B1919">
        <v>2050</v>
      </c>
      <c r="C1919" t="s">
        <v>4225</v>
      </c>
      <c r="D1919" t="s">
        <v>98</v>
      </c>
      <c r="E1919" t="s">
        <v>4226</v>
      </c>
      <c r="F1919" t="s">
        <v>4227</v>
      </c>
      <c r="G1919" t="str">
        <f>"00847597"</f>
        <v>00847597</v>
      </c>
      <c r="H1919">
        <v>38.24</v>
      </c>
      <c r="I1919">
        <v>10</v>
      </c>
      <c r="M1919">
        <v>0</v>
      </c>
      <c r="N1919">
        <v>4</v>
      </c>
      <c r="O1919">
        <v>2</v>
      </c>
      <c r="P1919">
        <v>54.24</v>
      </c>
      <c r="Q1919">
        <v>0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3</v>
      </c>
      <c r="AA1919">
        <v>0</v>
      </c>
      <c r="AC1919">
        <v>57.24</v>
      </c>
    </row>
    <row r="1920" spans="1:29">
      <c r="A1920">
        <v>1913</v>
      </c>
      <c r="B1920">
        <v>1640</v>
      </c>
      <c r="C1920" t="s">
        <v>4228</v>
      </c>
      <c r="D1920" t="s">
        <v>141</v>
      </c>
      <c r="E1920" t="s">
        <v>252</v>
      </c>
      <c r="F1920" t="s">
        <v>4229</v>
      </c>
      <c r="G1920" t="str">
        <f>"200803000487"</f>
        <v>200803000487</v>
      </c>
      <c r="H1920">
        <v>43.2</v>
      </c>
      <c r="I1920">
        <v>0</v>
      </c>
      <c r="L1920">
        <v>4</v>
      </c>
      <c r="M1920">
        <v>4</v>
      </c>
      <c r="N1920">
        <v>4</v>
      </c>
      <c r="O1920">
        <v>0</v>
      </c>
      <c r="P1920">
        <v>51.2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6</v>
      </c>
      <c r="AA1920">
        <v>0</v>
      </c>
      <c r="AC1920">
        <v>57.2</v>
      </c>
    </row>
    <row r="1921" spans="1:29">
      <c r="A1921">
        <v>1914</v>
      </c>
      <c r="B1921">
        <v>1119</v>
      </c>
      <c r="C1921" t="s">
        <v>4230</v>
      </c>
      <c r="D1921" t="s">
        <v>98</v>
      </c>
      <c r="E1921" t="s">
        <v>66</v>
      </c>
      <c r="F1921" t="s">
        <v>4231</v>
      </c>
      <c r="G1921" t="str">
        <f>"00856935"</f>
        <v>00856935</v>
      </c>
      <c r="H1921">
        <v>39.200000000000003</v>
      </c>
      <c r="I1921">
        <v>0</v>
      </c>
      <c r="L1921">
        <v>8</v>
      </c>
      <c r="M1921">
        <v>8</v>
      </c>
      <c r="N1921">
        <v>4</v>
      </c>
      <c r="O1921">
        <v>0</v>
      </c>
      <c r="P1921">
        <v>51.2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6</v>
      </c>
      <c r="AA1921">
        <v>0</v>
      </c>
      <c r="AC1921">
        <v>57.2</v>
      </c>
    </row>
    <row r="1922" spans="1:29">
      <c r="A1922">
        <v>1915</v>
      </c>
      <c r="B1922">
        <v>2382</v>
      </c>
      <c r="C1922" t="s">
        <v>4232</v>
      </c>
      <c r="D1922" t="s">
        <v>145</v>
      </c>
      <c r="E1922" t="s">
        <v>28</v>
      </c>
      <c r="F1922" t="s">
        <v>4233</v>
      </c>
      <c r="G1922" t="str">
        <f>"00409636"</f>
        <v>00409636</v>
      </c>
      <c r="H1922">
        <v>39.200000000000003</v>
      </c>
      <c r="I1922">
        <v>0</v>
      </c>
      <c r="J1922">
        <v>8</v>
      </c>
      <c r="M1922">
        <v>8</v>
      </c>
      <c r="N1922">
        <v>4</v>
      </c>
      <c r="O1922">
        <v>0</v>
      </c>
      <c r="P1922">
        <v>51.2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6</v>
      </c>
      <c r="AA1922">
        <v>0</v>
      </c>
      <c r="AC1922">
        <v>57.2</v>
      </c>
    </row>
    <row r="1923" spans="1:29">
      <c r="A1923">
        <v>1916</v>
      </c>
      <c r="B1923">
        <v>1108</v>
      </c>
      <c r="C1923" t="s">
        <v>4234</v>
      </c>
      <c r="D1923" t="s">
        <v>2850</v>
      </c>
      <c r="E1923" t="s">
        <v>18</v>
      </c>
      <c r="F1923" t="s">
        <v>4235</v>
      </c>
      <c r="G1923" t="str">
        <f>"00700547"</f>
        <v>00700547</v>
      </c>
      <c r="H1923">
        <v>37.200000000000003</v>
      </c>
      <c r="I1923">
        <v>10</v>
      </c>
      <c r="M1923">
        <v>0</v>
      </c>
      <c r="N1923">
        <v>4</v>
      </c>
      <c r="O1923">
        <v>0</v>
      </c>
      <c r="P1923">
        <v>51.2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6</v>
      </c>
      <c r="AA1923">
        <v>0</v>
      </c>
      <c r="AC1923">
        <v>57.2</v>
      </c>
    </row>
    <row r="1924" spans="1:29">
      <c r="A1924">
        <v>1917</v>
      </c>
      <c r="B1924">
        <v>4033</v>
      </c>
      <c r="C1924" t="s">
        <v>4236</v>
      </c>
      <c r="D1924" t="s">
        <v>20</v>
      </c>
      <c r="E1924" t="s">
        <v>224</v>
      </c>
      <c r="F1924" t="s">
        <v>4237</v>
      </c>
      <c r="G1924" t="str">
        <f>"00509608"</f>
        <v>00509608</v>
      </c>
      <c r="H1924">
        <v>31.2</v>
      </c>
      <c r="I1924">
        <v>0</v>
      </c>
      <c r="J1924">
        <v>8</v>
      </c>
      <c r="M1924">
        <v>8</v>
      </c>
      <c r="N1924">
        <v>4</v>
      </c>
      <c r="O1924">
        <v>2</v>
      </c>
      <c r="P1924">
        <v>45.2</v>
      </c>
      <c r="Q1924">
        <v>6</v>
      </c>
      <c r="R1924">
        <v>6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6</v>
      </c>
      <c r="Z1924">
        <v>6</v>
      </c>
      <c r="AA1924">
        <v>0</v>
      </c>
      <c r="AC1924">
        <v>57.2</v>
      </c>
    </row>
    <row r="1925" spans="1:29">
      <c r="A1925">
        <v>1918</v>
      </c>
      <c r="B1925">
        <v>3621</v>
      </c>
      <c r="C1925" t="s">
        <v>4238</v>
      </c>
      <c r="D1925" t="s">
        <v>86</v>
      </c>
      <c r="E1925" t="s">
        <v>36</v>
      </c>
      <c r="F1925" t="s">
        <v>4239</v>
      </c>
      <c r="G1925" t="str">
        <f>"00529406"</f>
        <v>00529406</v>
      </c>
      <c r="H1925">
        <v>43.2</v>
      </c>
      <c r="I1925">
        <v>0</v>
      </c>
      <c r="M1925">
        <v>0</v>
      </c>
      <c r="N1925">
        <v>0</v>
      </c>
      <c r="O1925">
        <v>0</v>
      </c>
      <c r="P1925">
        <v>43.2</v>
      </c>
      <c r="Q1925">
        <v>8</v>
      </c>
      <c r="R1925">
        <v>8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8</v>
      </c>
      <c r="Z1925">
        <v>6</v>
      </c>
      <c r="AA1925">
        <v>0</v>
      </c>
      <c r="AC1925">
        <v>57.2</v>
      </c>
    </row>
    <row r="1926" spans="1:29">
      <c r="A1926">
        <v>1919</v>
      </c>
      <c r="B1926">
        <v>1968</v>
      </c>
      <c r="C1926" t="s">
        <v>4245</v>
      </c>
      <c r="D1926" t="s">
        <v>24</v>
      </c>
      <c r="E1926" t="s">
        <v>1855</v>
      </c>
      <c r="F1926" t="s">
        <v>4246</v>
      </c>
      <c r="G1926" t="str">
        <f>"00163015"</f>
        <v>00163015</v>
      </c>
      <c r="H1926">
        <v>43.2</v>
      </c>
      <c r="I1926">
        <v>0</v>
      </c>
      <c r="J1926">
        <v>8</v>
      </c>
      <c r="M1926">
        <v>8</v>
      </c>
      <c r="N1926">
        <v>4</v>
      </c>
      <c r="O1926">
        <v>2</v>
      </c>
      <c r="P1926">
        <v>57.2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0</v>
      </c>
      <c r="AC1926">
        <v>57.2</v>
      </c>
    </row>
    <row r="1927" spans="1:29">
      <c r="A1927">
        <v>1920</v>
      </c>
      <c r="B1927">
        <v>3645</v>
      </c>
      <c r="C1927" t="s">
        <v>927</v>
      </c>
      <c r="D1927" t="s">
        <v>31</v>
      </c>
      <c r="E1927" t="s">
        <v>134</v>
      </c>
      <c r="F1927" t="s">
        <v>4244</v>
      </c>
      <c r="G1927" t="str">
        <f>"00374002"</f>
        <v>00374002</v>
      </c>
      <c r="H1927">
        <v>43.2</v>
      </c>
      <c r="I1927">
        <v>10</v>
      </c>
      <c r="L1927">
        <v>4</v>
      </c>
      <c r="M1927">
        <v>4</v>
      </c>
      <c r="N1927">
        <v>0</v>
      </c>
      <c r="O1927">
        <v>0</v>
      </c>
      <c r="P1927">
        <v>57.2</v>
      </c>
      <c r="Q1927">
        <v>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0</v>
      </c>
      <c r="AA1927">
        <v>0</v>
      </c>
      <c r="AC1927">
        <v>57.2</v>
      </c>
    </row>
    <row r="1928" spans="1:29">
      <c r="A1928">
        <v>1921</v>
      </c>
      <c r="B1928">
        <v>1309</v>
      </c>
      <c r="C1928" t="s">
        <v>3190</v>
      </c>
      <c r="D1928" t="s">
        <v>4242</v>
      </c>
      <c r="E1928" t="s">
        <v>36</v>
      </c>
      <c r="F1928" t="s">
        <v>4243</v>
      </c>
      <c r="G1928" t="str">
        <f>"201511042005"</f>
        <v>201511042005</v>
      </c>
      <c r="H1928">
        <v>43.2</v>
      </c>
      <c r="I1928">
        <v>0</v>
      </c>
      <c r="J1928">
        <v>8</v>
      </c>
      <c r="M1928">
        <v>8</v>
      </c>
      <c r="N1928">
        <v>4</v>
      </c>
      <c r="O1928">
        <v>2</v>
      </c>
      <c r="P1928">
        <v>57.2</v>
      </c>
      <c r="Q1928">
        <v>0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0</v>
      </c>
      <c r="AA1928">
        <v>0</v>
      </c>
      <c r="AC1928">
        <v>57.2</v>
      </c>
    </row>
    <row r="1929" spans="1:29">
      <c r="A1929">
        <v>1922</v>
      </c>
      <c r="B1929">
        <v>2067</v>
      </c>
      <c r="C1929" t="s">
        <v>4240</v>
      </c>
      <c r="D1929" t="s">
        <v>448</v>
      </c>
      <c r="E1929" t="s">
        <v>1460</v>
      </c>
      <c r="F1929" t="s">
        <v>4241</v>
      </c>
      <c r="G1929" t="str">
        <f>"00862383"</f>
        <v>00862383</v>
      </c>
      <c r="H1929">
        <v>43.2</v>
      </c>
      <c r="I1929">
        <v>0</v>
      </c>
      <c r="J1929">
        <v>8</v>
      </c>
      <c r="M1929">
        <v>8</v>
      </c>
      <c r="N1929">
        <v>4</v>
      </c>
      <c r="O1929">
        <v>2</v>
      </c>
      <c r="P1929">
        <v>57.2</v>
      </c>
      <c r="Q1929">
        <v>0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0</v>
      </c>
      <c r="AA1929">
        <v>0</v>
      </c>
      <c r="AC1929">
        <v>57.2</v>
      </c>
    </row>
    <row r="1930" spans="1:29">
      <c r="A1930">
        <v>1923</v>
      </c>
      <c r="B1930">
        <v>3429</v>
      </c>
      <c r="C1930" t="s">
        <v>1743</v>
      </c>
      <c r="D1930" t="s">
        <v>1875</v>
      </c>
      <c r="E1930" t="s">
        <v>79</v>
      </c>
      <c r="F1930" t="s">
        <v>4247</v>
      </c>
      <c r="G1930" t="str">
        <f>"00190866"</f>
        <v>00190866</v>
      </c>
      <c r="H1930">
        <v>43.2</v>
      </c>
      <c r="I1930">
        <v>10</v>
      </c>
      <c r="M1930">
        <v>0</v>
      </c>
      <c r="N1930">
        <v>4</v>
      </c>
      <c r="O1930">
        <v>0</v>
      </c>
      <c r="P1930">
        <v>57.2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  <c r="AA1930">
        <v>0</v>
      </c>
      <c r="AC1930">
        <v>57.2</v>
      </c>
    </row>
    <row r="1931" spans="1:29">
      <c r="A1931">
        <v>1924</v>
      </c>
      <c r="B1931">
        <v>1434</v>
      </c>
      <c r="C1931" t="s">
        <v>4248</v>
      </c>
      <c r="D1931" t="s">
        <v>4249</v>
      </c>
      <c r="E1931" t="s">
        <v>28</v>
      </c>
      <c r="F1931" t="s">
        <v>4250</v>
      </c>
      <c r="G1931" t="str">
        <f>"00857621"</f>
        <v>00857621</v>
      </c>
      <c r="H1931">
        <v>43.2</v>
      </c>
      <c r="I1931">
        <v>0</v>
      </c>
      <c r="J1931">
        <v>8</v>
      </c>
      <c r="M1931">
        <v>8</v>
      </c>
      <c r="N1931">
        <v>4</v>
      </c>
      <c r="O1931">
        <v>2</v>
      </c>
      <c r="P1931">
        <v>57.2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0</v>
      </c>
      <c r="AC1931">
        <v>57.2</v>
      </c>
    </row>
    <row r="1932" spans="1:29">
      <c r="A1932">
        <v>1925</v>
      </c>
      <c r="B1932">
        <v>4172</v>
      </c>
      <c r="C1932" t="s">
        <v>4251</v>
      </c>
      <c r="D1932" t="s">
        <v>175</v>
      </c>
      <c r="E1932" t="s">
        <v>60</v>
      </c>
      <c r="F1932" t="s">
        <v>4252</v>
      </c>
      <c r="G1932" t="str">
        <f>"00863192"</f>
        <v>00863192</v>
      </c>
      <c r="H1932">
        <v>39.200000000000003</v>
      </c>
      <c r="I1932">
        <v>10</v>
      </c>
      <c r="L1932">
        <v>4</v>
      </c>
      <c r="M1932">
        <v>4</v>
      </c>
      <c r="N1932">
        <v>4</v>
      </c>
      <c r="O1932">
        <v>0</v>
      </c>
      <c r="P1932">
        <v>57.2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0</v>
      </c>
      <c r="AA1932">
        <v>0</v>
      </c>
      <c r="AC1932">
        <v>57.2</v>
      </c>
    </row>
    <row r="1933" spans="1:29">
      <c r="A1933">
        <v>1926</v>
      </c>
      <c r="B1933">
        <v>4830</v>
      </c>
      <c r="C1933" t="s">
        <v>4253</v>
      </c>
      <c r="D1933" t="s">
        <v>124</v>
      </c>
      <c r="E1933" t="s">
        <v>60</v>
      </c>
      <c r="F1933" t="s">
        <v>4254</v>
      </c>
      <c r="G1933" t="str">
        <f>"201406010357"</f>
        <v>201406010357</v>
      </c>
      <c r="H1933">
        <v>37.200000000000003</v>
      </c>
      <c r="I1933">
        <v>0</v>
      </c>
      <c r="J1933">
        <v>8</v>
      </c>
      <c r="K1933">
        <v>6</v>
      </c>
      <c r="M1933">
        <v>14</v>
      </c>
      <c r="N1933">
        <v>4</v>
      </c>
      <c r="O1933">
        <v>2</v>
      </c>
      <c r="P1933">
        <v>57.2</v>
      </c>
      <c r="Q1933">
        <v>0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0</v>
      </c>
      <c r="AA1933">
        <v>0</v>
      </c>
      <c r="AC1933">
        <v>57.2</v>
      </c>
    </row>
    <row r="1934" spans="1:29">
      <c r="A1934">
        <v>1927</v>
      </c>
      <c r="B1934">
        <v>3064</v>
      </c>
      <c r="C1934" t="s">
        <v>4255</v>
      </c>
      <c r="D1934" t="s">
        <v>164</v>
      </c>
      <c r="E1934" t="s">
        <v>15</v>
      </c>
      <c r="F1934" t="s">
        <v>4256</v>
      </c>
      <c r="G1934" t="str">
        <f>"00533411"</f>
        <v>00533411</v>
      </c>
      <c r="H1934">
        <v>43.2</v>
      </c>
      <c r="I1934">
        <v>0</v>
      </c>
      <c r="L1934">
        <v>4</v>
      </c>
      <c r="M1934">
        <v>4</v>
      </c>
      <c r="N1934">
        <v>4</v>
      </c>
      <c r="O1934">
        <v>0</v>
      </c>
      <c r="P1934">
        <v>51.2</v>
      </c>
      <c r="Q1934">
        <v>6</v>
      </c>
      <c r="R1934">
        <v>6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6</v>
      </c>
      <c r="Z1934">
        <v>0</v>
      </c>
      <c r="AA1934">
        <v>0</v>
      </c>
      <c r="AC1934">
        <v>57.2</v>
      </c>
    </row>
    <row r="1935" spans="1:29">
      <c r="A1935">
        <v>1928</v>
      </c>
      <c r="B1935">
        <v>3378</v>
      </c>
      <c r="C1935" t="s">
        <v>4257</v>
      </c>
      <c r="D1935" t="s">
        <v>4258</v>
      </c>
      <c r="E1935" t="s">
        <v>211</v>
      </c>
      <c r="F1935" t="s">
        <v>4259</v>
      </c>
      <c r="G1935" t="str">
        <f>"00523509"</f>
        <v>00523509</v>
      </c>
      <c r="H1935">
        <v>43.2</v>
      </c>
      <c r="I1935">
        <v>0</v>
      </c>
      <c r="M1935">
        <v>0</v>
      </c>
      <c r="N1935">
        <v>4</v>
      </c>
      <c r="O1935">
        <v>2</v>
      </c>
      <c r="P1935">
        <v>49.2</v>
      </c>
      <c r="Q1935">
        <v>8</v>
      </c>
      <c r="R1935">
        <v>8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8</v>
      </c>
      <c r="Z1935">
        <v>0</v>
      </c>
      <c r="AA1935">
        <v>0</v>
      </c>
      <c r="AC1935">
        <v>57.2</v>
      </c>
    </row>
    <row r="1936" spans="1:29">
      <c r="A1936">
        <v>1929</v>
      </c>
      <c r="B1936">
        <v>3177</v>
      </c>
      <c r="C1936" t="s">
        <v>4260</v>
      </c>
      <c r="D1936" t="s">
        <v>20</v>
      </c>
      <c r="E1936" t="s">
        <v>18</v>
      </c>
      <c r="F1936" t="s">
        <v>4261</v>
      </c>
      <c r="G1936" t="str">
        <f>"00487402"</f>
        <v>00487402</v>
      </c>
      <c r="H1936">
        <v>7.2</v>
      </c>
      <c r="I1936">
        <v>0</v>
      </c>
      <c r="L1936">
        <v>4</v>
      </c>
      <c r="M1936">
        <v>4</v>
      </c>
      <c r="N1936">
        <v>4</v>
      </c>
      <c r="O1936">
        <v>2</v>
      </c>
      <c r="P1936">
        <v>17.2</v>
      </c>
      <c r="Q1936">
        <v>40</v>
      </c>
      <c r="R1936">
        <v>40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40</v>
      </c>
      <c r="Z1936">
        <v>0</v>
      </c>
      <c r="AA1936">
        <v>0</v>
      </c>
      <c r="AC1936">
        <v>57.2</v>
      </c>
    </row>
    <row r="1937" spans="1:29">
      <c r="A1937">
        <v>1930</v>
      </c>
      <c r="B1937">
        <v>1819</v>
      </c>
      <c r="C1937" t="s">
        <v>178</v>
      </c>
      <c r="D1937" t="s">
        <v>4262</v>
      </c>
      <c r="E1937" t="s">
        <v>889</v>
      </c>
      <c r="F1937" t="s">
        <v>4263</v>
      </c>
      <c r="G1937" t="str">
        <f>"200801002203"</f>
        <v>200801002203</v>
      </c>
      <c r="H1937">
        <v>39.08</v>
      </c>
      <c r="I1937">
        <v>0</v>
      </c>
      <c r="L1937">
        <v>8</v>
      </c>
      <c r="M1937">
        <v>8</v>
      </c>
      <c r="N1937">
        <v>4</v>
      </c>
      <c r="O1937">
        <v>0</v>
      </c>
      <c r="P1937">
        <v>51.08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6</v>
      </c>
      <c r="AA1937">
        <v>0</v>
      </c>
      <c r="AC1937">
        <v>57.08</v>
      </c>
    </row>
    <row r="1938" spans="1:29">
      <c r="A1938">
        <v>1931</v>
      </c>
      <c r="B1938">
        <v>2219</v>
      </c>
      <c r="C1938" t="s">
        <v>4264</v>
      </c>
      <c r="D1938" t="s">
        <v>27</v>
      </c>
      <c r="E1938" t="s">
        <v>967</v>
      </c>
      <c r="F1938" t="s">
        <v>4265</v>
      </c>
      <c r="G1938" t="str">
        <f>"00858521"</f>
        <v>00858521</v>
      </c>
      <c r="H1938">
        <v>36</v>
      </c>
      <c r="I1938">
        <v>0</v>
      </c>
      <c r="J1938">
        <v>8</v>
      </c>
      <c r="M1938">
        <v>8</v>
      </c>
      <c r="N1938">
        <v>4</v>
      </c>
      <c r="O1938">
        <v>0</v>
      </c>
      <c r="P1938">
        <v>48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0</v>
      </c>
      <c r="Z1938">
        <v>9</v>
      </c>
      <c r="AA1938">
        <v>0</v>
      </c>
      <c r="AC1938">
        <v>57</v>
      </c>
    </row>
    <row r="1939" spans="1:29">
      <c r="A1939">
        <v>1932</v>
      </c>
      <c r="B1939">
        <v>2115</v>
      </c>
      <c r="C1939" t="s">
        <v>4266</v>
      </c>
      <c r="D1939" t="s">
        <v>49</v>
      </c>
      <c r="E1939" t="s">
        <v>647</v>
      </c>
      <c r="F1939" t="s">
        <v>4267</v>
      </c>
      <c r="G1939" t="str">
        <f>"00150228"</f>
        <v>00150228</v>
      </c>
      <c r="H1939">
        <v>36</v>
      </c>
      <c r="I1939">
        <v>0</v>
      </c>
      <c r="L1939">
        <v>4</v>
      </c>
      <c r="M1939">
        <v>4</v>
      </c>
      <c r="N1939">
        <v>4</v>
      </c>
      <c r="O1939">
        <v>0</v>
      </c>
      <c r="P1939">
        <v>44</v>
      </c>
      <c r="Q1939">
        <v>7</v>
      </c>
      <c r="R1939">
        <v>7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7</v>
      </c>
      <c r="Z1939">
        <v>6</v>
      </c>
      <c r="AA1939">
        <v>0</v>
      </c>
      <c r="AC1939">
        <v>57</v>
      </c>
    </row>
    <row r="1940" spans="1:29">
      <c r="A1940">
        <v>1933</v>
      </c>
      <c r="B1940">
        <v>1602</v>
      </c>
      <c r="C1940" t="s">
        <v>4268</v>
      </c>
      <c r="D1940" t="s">
        <v>27</v>
      </c>
      <c r="E1940" t="s">
        <v>436</v>
      </c>
      <c r="F1940" t="s">
        <v>4269</v>
      </c>
      <c r="G1940" t="str">
        <f>"00425895"</f>
        <v>00425895</v>
      </c>
      <c r="H1940">
        <v>40</v>
      </c>
      <c r="I1940">
        <v>0</v>
      </c>
      <c r="J1940">
        <v>8</v>
      </c>
      <c r="M1940">
        <v>8</v>
      </c>
      <c r="N1940">
        <v>4</v>
      </c>
      <c r="O1940">
        <v>2</v>
      </c>
      <c r="P1940">
        <v>54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3</v>
      </c>
      <c r="AA1940">
        <v>0</v>
      </c>
      <c r="AC1940">
        <v>57</v>
      </c>
    </row>
    <row r="1941" spans="1:29">
      <c r="A1941">
        <v>1934</v>
      </c>
      <c r="B1941">
        <v>516</v>
      </c>
      <c r="C1941" t="s">
        <v>65</v>
      </c>
      <c r="D1941" t="s">
        <v>159</v>
      </c>
      <c r="E1941" t="s">
        <v>18</v>
      </c>
      <c r="F1941" t="s">
        <v>4270</v>
      </c>
      <c r="G1941" t="str">
        <f>"00572976"</f>
        <v>00572976</v>
      </c>
      <c r="H1941">
        <v>40</v>
      </c>
      <c r="I1941">
        <v>0</v>
      </c>
      <c r="J1941">
        <v>8</v>
      </c>
      <c r="M1941">
        <v>8</v>
      </c>
      <c r="N1941">
        <v>4</v>
      </c>
      <c r="O1941">
        <v>2</v>
      </c>
      <c r="P1941">
        <v>54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3</v>
      </c>
      <c r="AA1941">
        <v>0</v>
      </c>
      <c r="AC1941">
        <v>57</v>
      </c>
    </row>
    <row r="1942" spans="1:29">
      <c r="A1942">
        <v>1935</v>
      </c>
      <c r="B1942">
        <v>3921</v>
      </c>
      <c r="C1942" t="s">
        <v>4271</v>
      </c>
      <c r="D1942" t="s">
        <v>52</v>
      </c>
      <c r="E1942" t="s">
        <v>66</v>
      </c>
      <c r="F1942" t="s">
        <v>4272</v>
      </c>
      <c r="G1942" t="str">
        <f>"00480516"</f>
        <v>00480516</v>
      </c>
      <c r="H1942">
        <v>36</v>
      </c>
      <c r="I1942">
        <v>0</v>
      </c>
      <c r="J1942">
        <v>8</v>
      </c>
      <c r="M1942">
        <v>8</v>
      </c>
      <c r="N1942">
        <v>4</v>
      </c>
      <c r="O1942">
        <v>0</v>
      </c>
      <c r="P1942">
        <v>48</v>
      </c>
      <c r="Q1942">
        <v>6</v>
      </c>
      <c r="R1942">
        <v>6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6</v>
      </c>
      <c r="Z1942">
        <v>3</v>
      </c>
      <c r="AA1942">
        <v>0</v>
      </c>
      <c r="AC1942">
        <v>57</v>
      </c>
    </row>
    <row r="1943" spans="1:29">
      <c r="A1943">
        <v>1936</v>
      </c>
      <c r="B1943">
        <v>2510</v>
      </c>
      <c r="C1943" t="s">
        <v>4273</v>
      </c>
      <c r="D1943" t="s">
        <v>167</v>
      </c>
      <c r="E1943" t="s">
        <v>18</v>
      </c>
      <c r="F1943" t="s">
        <v>4274</v>
      </c>
      <c r="G1943" t="str">
        <f>"00233252"</f>
        <v>00233252</v>
      </c>
      <c r="H1943">
        <v>38</v>
      </c>
      <c r="I1943">
        <v>0</v>
      </c>
      <c r="L1943">
        <v>4</v>
      </c>
      <c r="M1943">
        <v>4</v>
      </c>
      <c r="N1943">
        <v>4</v>
      </c>
      <c r="O1943">
        <v>0</v>
      </c>
      <c r="P1943">
        <v>46</v>
      </c>
      <c r="Q1943">
        <v>8</v>
      </c>
      <c r="R1943">
        <v>8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8</v>
      </c>
      <c r="Z1943">
        <v>3</v>
      </c>
      <c r="AA1943">
        <v>0</v>
      </c>
      <c r="AC1943">
        <v>57</v>
      </c>
    </row>
    <row r="1944" spans="1:29">
      <c r="A1944">
        <v>1937</v>
      </c>
      <c r="B1944">
        <v>4171</v>
      </c>
      <c r="C1944" t="s">
        <v>4275</v>
      </c>
      <c r="D1944" t="s">
        <v>336</v>
      </c>
      <c r="E1944" t="s">
        <v>15</v>
      </c>
      <c r="F1944" t="s">
        <v>4276</v>
      </c>
      <c r="G1944" t="str">
        <f>"200911000361"</f>
        <v>200911000361</v>
      </c>
      <c r="H1944">
        <v>36</v>
      </c>
      <c r="I1944">
        <v>0</v>
      </c>
      <c r="M1944">
        <v>0</v>
      </c>
      <c r="N1944">
        <v>4</v>
      </c>
      <c r="O1944">
        <v>0</v>
      </c>
      <c r="P1944">
        <v>40</v>
      </c>
      <c r="Q1944">
        <v>14</v>
      </c>
      <c r="R1944">
        <v>14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14</v>
      </c>
      <c r="Z1944">
        <v>3</v>
      </c>
      <c r="AA1944">
        <v>0</v>
      </c>
      <c r="AC1944">
        <v>57</v>
      </c>
    </row>
    <row r="1945" spans="1:29">
      <c r="A1945">
        <v>1938</v>
      </c>
      <c r="B1945">
        <v>3732</v>
      </c>
      <c r="C1945" t="s">
        <v>543</v>
      </c>
      <c r="D1945" t="s">
        <v>24</v>
      </c>
      <c r="E1945" t="s">
        <v>379</v>
      </c>
      <c r="F1945" t="s">
        <v>4277</v>
      </c>
      <c r="G1945" t="str">
        <f>"00500220"</f>
        <v>00500220</v>
      </c>
      <c r="H1945">
        <v>36.799999999999997</v>
      </c>
      <c r="I1945">
        <v>10</v>
      </c>
      <c r="M1945">
        <v>0</v>
      </c>
      <c r="N1945">
        <v>4</v>
      </c>
      <c r="O1945">
        <v>0</v>
      </c>
      <c r="P1945">
        <v>50.8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6</v>
      </c>
      <c r="AA1945">
        <v>0</v>
      </c>
      <c r="AC1945">
        <v>56.8</v>
      </c>
    </row>
    <row r="1946" spans="1:29">
      <c r="A1946">
        <v>1939</v>
      </c>
      <c r="B1946">
        <v>637</v>
      </c>
      <c r="C1946" t="s">
        <v>4278</v>
      </c>
      <c r="D1946" t="s">
        <v>4279</v>
      </c>
      <c r="E1946" t="s">
        <v>28</v>
      </c>
      <c r="F1946" t="s">
        <v>4280</v>
      </c>
      <c r="G1946" t="str">
        <f>"00567401"</f>
        <v>00567401</v>
      </c>
      <c r="H1946">
        <v>28.8</v>
      </c>
      <c r="I1946">
        <v>10</v>
      </c>
      <c r="J1946">
        <v>8</v>
      </c>
      <c r="M1946">
        <v>8</v>
      </c>
      <c r="N1946">
        <v>4</v>
      </c>
      <c r="O1946">
        <v>0</v>
      </c>
      <c r="P1946">
        <v>50.8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6</v>
      </c>
      <c r="AA1946">
        <v>0</v>
      </c>
      <c r="AC1946">
        <v>56.8</v>
      </c>
    </row>
    <row r="1947" spans="1:29">
      <c r="A1947">
        <v>1940</v>
      </c>
      <c r="B1947">
        <v>215</v>
      </c>
      <c r="C1947" t="s">
        <v>4281</v>
      </c>
      <c r="D1947" t="s">
        <v>4282</v>
      </c>
      <c r="E1947" t="s">
        <v>15</v>
      </c>
      <c r="F1947" t="s">
        <v>4283</v>
      </c>
      <c r="G1947" t="str">
        <f>"00533479"</f>
        <v>00533479</v>
      </c>
      <c r="H1947">
        <v>28.8</v>
      </c>
      <c r="I1947">
        <v>0</v>
      </c>
      <c r="J1947">
        <v>8</v>
      </c>
      <c r="M1947">
        <v>8</v>
      </c>
      <c r="N1947">
        <v>4</v>
      </c>
      <c r="O1947">
        <v>0</v>
      </c>
      <c r="P1947">
        <v>40.799999999999997</v>
      </c>
      <c r="Q1947">
        <v>16</v>
      </c>
      <c r="R1947">
        <v>16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16</v>
      </c>
      <c r="Z1947">
        <v>0</v>
      </c>
      <c r="AA1947">
        <v>0</v>
      </c>
      <c r="AC1947">
        <v>56.8</v>
      </c>
    </row>
    <row r="1948" spans="1:29">
      <c r="A1948">
        <v>1941</v>
      </c>
      <c r="B1948">
        <v>3722</v>
      </c>
      <c r="C1948" t="s">
        <v>4284</v>
      </c>
      <c r="D1948" t="s">
        <v>2843</v>
      </c>
      <c r="E1948" t="s">
        <v>156</v>
      </c>
      <c r="F1948" t="s">
        <v>4285</v>
      </c>
      <c r="G1948" t="str">
        <f>"00521634"</f>
        <v>00521634</v>
      </c>
      <c r="H1948">
        <v>28.8</v>
      </c>
      <c r="I1948">
        <v>0</v>
      </c>
      <c r="L1948">
        <v>4</v>
      </c>
      <c r="M1948">
        <v>4</v>
      </c>
      <c r="N1948">
        <v>4</v>
      </c>
      <c r="O1948">
        <v>2</v>
      </c>
      <c r="P1948">
        <v>38.799999999999997</v>
      </c>
      <c r="Q1948">
        <v>18</v>
      </c>
      <c r="R1948">
        <v>18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18</v>
      </c>
      <c r="Z1948">
        <v>0</v>
      </c>
      <c r="AA1948">
        <v>0</v>
      </c>
      <c r="AC1948">
        <v>56.8</v>
      </c>
    </row>
    <row r="1949" spans="1:29">
      <c r="A1949">
        <v>1942</v>
      </c>
      <c r="B1949">
        <v>3336</v>
      </c>
      <c r="C1949" t="s">
        <v>4286</v>
      </c>
      <c r="D1949" t="s">
        <v>52</v>
      </c>
      <c r="E1949" t="s">
        <v>18</v>
      </c>
      <c r="F1949" t="s">
        <v>4287</v>
      </c>
      <c r="G1949" t="str">
        <f>"201104000147"</f>
        <v>201104000147</v>
      </c>
      <c r="H1949">
        <v>39.6</v>
      </c>
      <c r="I1949">
        <v>0</v>
      </c>
      <c r="L1949">
        <v>4</v>
      </c>
      <c r="M1949">
        <v>4</v>
      </c>
      <c r="N1949">
        <v>4</v>
      </c>
      <c r="O1949">
        <v>0</v>
      </c>
      <c r="P1949">
        <v>47.6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9</v>
      </c>
      <c r="AA1949">
        <v>0</v>
      </c>
      <c r="AC1949">
        <v>56.6</v>
      </c>
    </row>
    <row r="1950" spans="1:29">
      <c r="A1950">
        <v>1943</v>
      </c>
      <c r="B1950">
        <v>1792</v>
      </c>
      <c r="C1950" t="s">
        <v>3024</v>
      </c>
      <c r="D1950" t="s">
        <v>52</v>
      </c>
      <c r="E1950" t="s">
        <v>28</v>
      </c>
      <c r="F1950" t="s">
        <v>4288</v>
      </c>
      <c r="G1950" t="str">
        <f>"00105238"</f>
        <v>00105238</v>
      </c>
      <c r="H1950">
        <v>39.6</v>
      </c>
      <c r="I1950">
        <v>0</v>
      </c>
      <c r="J1950">
        <v>8</v>
      </c>
      <c r="M1950">
        <v>8</v>
      </c>
      <c r="N1950">
        <v>4</v>
      </c>
      <c r="O1950">
        <v>2</v>
      </c>
      <c r="P1950">
        <v>53.6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3</v>
      </c>
      <c r="AA1950">
        <v>0</v>
      </c>
      <c r="AC1950">
        <v>56.6</v>
      </c>
    </row>
    <row r="1951" spans="1:29">
      <c r="A1951">
        <v>1944</v>
      </c>
      <c r="B1951">
        <v>4121</v>
      </c>
      <c r="C1951" t="s">
        <v>4289</v>
      </c>
      <c r="D1951" t="s">
        <v>31</v>
      </c>
      <c r="E1951" t="s">
        <v>187</v>
      </c>
      <c r="F1951" t="s">
        <v>4290</v>
      </c>
      <c r="G1951" t="str">
        <f>"200902000153"</f>
        <v>200902000153</v>
      </c>
      <c r="H1951">
        <v>35.6</v>
      </c>
      <c r="I1951">
        <v>0</v>
      </c>
      <c r="J1951">
        <v>8</v>
      </c>
      <c r="L1951">
        <v>4</v>
      </c>
      <c r="M1951">
        <v>12</v>
      </c>
      <c r="N1951">
        <v>4</v>
      </c>
      <c r="O1951">
        <v>2</v>
      </c>
      <c r="P1951">
        <v>53.6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3</v>
      </c>
      <c r="AA1951">
        <v>0</v>
      </c>
      <c r="AC1951">
        <v>56.6</v>
      </c>
    </row>
    <row r="1952" spans="1:29">
      <c r="A1952">
        <v>1945</v>
      </c>
      <c r="B1952">
        <v>1525</v>
      </c>
      <c r="C1952" t="s">
        <v>4291</v>
      </c>
      <c r="D1952" t="s">
        <v>69</v>
      </c>
      <c r="E1952" t="s">
        <v>889</v>
      </c>
      <c r="F1952" t="s">
        <v>4292</v>
      </c>
      <c r="G1952" t="str">
        <f>"00628525"</f>
        <v>00628525</v>
      </c>
      <c r="H1952">
        <v>32.56</v>
      </c>
      <c r="I1952">
        <v>0</v>
      </c>
      <c r="J1952">
        <v>8</v>
      </c>
      <c r="M1952">
        <v>8</v>
      </c>
      <c r="N1952">
        <v>4</v>
      </c>
      <c r="O1952">
        <v>0</v>
      </c>
      <c r="P1952">
        <v>44.56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12</v>
      </c>
      <c r="AA1952">
        <v>0</v>
      </c>
      <c r="AC1952">
        <v>56.56</v>
      </c>
    </row>
    <row r="1953" spans="1:29">
      <c r="A1953">
        <v>1946</v>
      </c>
      <c r="B1953">
        <v>794</v>
      </c>
      <c r="C1953" t="s">
        <v>4293</v>
      </c>
      <c r="D1953" t="s">
        <v>35</v>
      </c>
      <c r="E1953" t="s">
        <v>15</v>
      </c>
      <c r="F1953" t="s">
        <v>4294</v>
      </c>
      <c r="G1953" t="str">
        <f>"00855786"</f>
        <v>00855786</v>
      </c>
      <c r="H1953">
        <v>50.4</v>
      </c>
      <c r="I1953">
        <v>0</v>
      </c>
      <c r="M1953">
        <v>0</v>
      </c>
      <c r="N1953">
        <v>0</v>
      </c>
      <c r="O1953">
        <v>0</v>
      </c>
      <c r="P1953">
        <v>50.4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6</v>
      </c>
      <c r="AA1953">
        <v>0</v>
      </c>
      <c r="AC1953">
        <v>56.4</v>
      </c>
    </row>
    <row r="1954" spans="1:29">
      <c r="A1954">
        <v>1947</v>
      </c>
      <c r="B1954">
        <v>2087</v>
      </c>
      <c r="C1954" t="s">
        <v>4295</v>
      </c>
      <c r="D1954" t="s">
        <v>27</v>
      </c>
      <c r="E1954" t="s">
        <v>50</v>
      </c>
      <c r="F1954" t="s">
        <v>4296</v>
      </c>
      <c r="G1954" t="str">
        <f>"00555401"</f>
        <v>00555401</v>
      </c>
      <c r="H1954">
        <v>50.4</v>
      </c>
      <c r="I1954">
        <v>0</v>
      </c>
      <c r="M1954">
        <v>0</v>
      </c>
      <c r="N1954">
        <v>0</v>
      </c>
      <c r="O1954">
        <v>0</v>
      </c>
      <c r="P1954">
        <v>50.4</v>
      </c>
      <c r="Q1954">
        <v>0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v>6</v>
      </c>
      <c r="AA1954">
        <v>0</v>
      </c>
      <c r="AC1954">
        <v>56.4</v>
      </c>
    </row>
    <row r="1955" spans="1:29">
      <c r="A1955">
        <v>1948</v>
      </c>
      <c r="B1955">
        <v>1966</v>
      </c>
      <c r="C1955" t="s">
        <v>4297</v>
      </c>
      <c r="D1955" t="s">
        <v>52</v>
      </c>
      <c r="E1955" t="s">
        <v>134</v>
      </c>
      <c r="F1955" t="s">
        <v>4298</v>
      </c>
      <c r="G1955" t="str">
        <f>"00855006"</f>
        <v>00855006</v>
      </c>
      <c r="H1955">
        <v>50.4</v>
      </c>
      <c r="I1955">
        <v>0</v>
      </c>
      <c r="M1955">
        <v>0</v>
      </c>
      <c r="N1955">
        <v>0</v>
      </c>
      <c r="O1955">
        <v>0</v>
      </c>
      <c r="P1955">
        <v>50.4</v>
      </c>
      <c r="Q1955">
        <v>0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0</v>
      </c>
      <c r="Z1955">
        <v>6</v>
      </c>
      <c r="AA1955">
        <v>0</v>
      </c>
      <c r="AC1955">
        <v>56.4</v>
      </c>
    </row>
    <row r="1956" spans="1:29">
      <c r="A1956">
        <v>1949</v>
      </c>
      <c r="B1956">
        <v>3994</v>
      </c>
      <c r="C1956" t="s">
        <v>2607</v>
      </c>
      <c r="D1956" t="s">
        <v>4299</v>
      </c>
      <c r="E1956" t="s">
        <v>66</v>
      </c>
      <c r="F1956" t="s">
        <v>4300</v>
      </c>
      <c r="G1956" t="str">
        <f>"00631036"</f>
        <v>00631036</v>
      </c>
      <c r="H1956">
        <v>50.4</v>
      </c>
      <c r="I1956">
        <v>0</v>
      </c>
      <c r="M1956">
        <v>0</v>
      </c>
      <c r="N1956">
        <v>4</v>
      </c>
      <c r="O1956">
        <v>2</v>
      </c>
      <c r="P1956">
        <v>56.4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C1956">
        <v>56.4</v>
      </c>
    </row>
    <row r="1957" spans="1:29">
      <c r="A1957">
        <v>1950</v>
      </c>
      <c r="B1957">
        <v>2026</v>
      </c>
      <c r="C1957" t="s">
        <v>4303</v>
      </c>
      <c r="D1957" t="s">
        <v>167</v>
      </c>
      <c r="E1957" t="s">
        <v>18</v>
      </c>
      <c r="F1957" t="s">
        <v>4304</v>
      </c>
      <c r="G1957" t="str">
        <f>"00800621"</f>
        <v>00800621</v>
      </c>
      <c r="H1957">
        <v>50.4</v>
      </c>
      <c r="I1957">
        <v>0</v>
      </c>
      <c r="M1957">
        <v>0</v>
      </c>
      <c r="N1957">
        <v>4</v>
      </c>
      <c r="O1957">
        <v>2</v>
      </c>
      <c r="P1957">
        <v>56.4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0</v>
      </c>
      <c r="AC1957">
        <v>56.4</v>
      </c>
    </row>
    <row r="1958" spans="1:29">
      <c r="A1958">
        <v>1951</v>
      </c>
      <c r="B1958">
        <v>2113</v>
      </c>
      <c r="C1958" t="s">
        <v>4308</v>
      </c>
      <c r="D1958" t="s">
        <v>86</v>
      </c>
      <c r="E1958" t="s">
        <v>621</v>
      </c>
      <c r="F1958" t="s">
        <v>4309</v>
      </c>
      <c r="G1958" t="str">
        <f>"00764787"</f>
        <v>00764787</v>
      </c>
      <c r="H1958">
        <v>50.4</v>
      </c>
      <c r="I1958">
        <v>0</v>
      </c>
      <c r="L1958">
        <v>4</v>
      </c>
      <c r="M1958">
        <v>4</v>
      </c>
      <c r="N1958">
        <v>0</v>
      </c>
      <c r="O1958">
        <v>2</v>
      </c>
      <c r="P1958">
        <v>56.4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C1958">
        <v>56.4</v>
      </c>
    </row>
    <row r="1959" spans="1:29">
      <c r="A1959">
        <v>1952</v>
      </c>
      <c r="B1959">
        <v>4945</v>
      </c>
      <c r="C1959" t="s">
        <v>146</v>
      </c>
      <c r="D1959" t="s">
        <v>52</v>
      </c>
      <c r="E1959" t="s">
        <v>28</v>
      </c>
      <c r="F1959" t="s">
        <v>4305</v>
      </c>
      <c r="G1959" t="str">
        <f>"00865489"</f>
        <v>00865489</v>
      </c>
      <c r="H1959">
        <v>50.4</v>
      </c>
      <c r="I1959">
        <v>0</v>
      </c>
      <c r="L1959">
        <v>4</v>
      </c>
      <c r="M1959">
        <v>4</v>
      </c>
      <c r="N1959">
        <v>0</v>
      </c>
      <c r="O1959">
        <v>2</v>
      </c>
      <c r="P1959">
        <v>56.4</v>
      </c>
      <c r="Q1959">
        <v>0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C1959">
        <v>56.4</v>
      </c>
    </row>
    <row r="1960" spans="1:29">
      <c r="A1960">
        <v>1953</v>
      </c>
      <c r="B1960">
        <v>4745</v>
      </c>
      <c r="C1960" t="s">
        <v>4306</v>
      </c>
      <c r="D1960" t="s">
        <v>787</v>
      </c>
      <c r="E1960" t="s">
        <v>15</v>
      </c>
      <c r="F1960" t="s">
        <v>4307</v>
      </c>
      <c r="G1960" t="str">
        <f>"00866030"</f>
        <v>00866030</v>
      </c>
      <c r="H1960">
        <v>50.4</v>
      </c>
      <c r="I1960">
        <v>0</v>
      </c>
      <c r="M1960">
        <v>0</v>
      </c>
      <c r="N1960">
        <v>4</v>
      </c>
      <c r="O1960">
        <v>2</v>
      </c>
      <c r="P1960">
        <v>56.4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  <c r="AC1960">
        <v>56.4</v>
      </c>
    </row>
    <row r="1961" spans="1:29">
      <c r="A1961">
        <v>1954</v>
      </c>
      <c r="B1961">
        <v>676</v>
      </c>
      <c r="C1961" t="s">
        <v>4301</v>
      </c>
      <c r="D1961" t="s">
        <v>20</v>
      </c>
      <c r="E1961" t="s">
        <v>1020</v>
      </c>
      <c r="F1961" t="s">
        <v>4302</v>
      </c>
      <c r="G1961" t="str">
        <f>"00855350"</f>
        <v>00855350</v>
      </c>
      <c r="H1961">
        <v>50.4</v>
      </c>
      <c r="I1961">
        <v>0</v>
      </c>
      <c r="M1961">
        <v>0</v>
      </c>
      <c r="N1961">
        <v>4</v>
      </c>
      <c r="O1961">
        <v>2</v>
      </c>
      <c r="P1961">
        <v>56.4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C1961">
        <v>56.4</v>
      </c>
    </row>
    <row r="1962" spans="1:29">
      <c r="A1962">
        <v>1955</v>
      </c>
      <c r="B1962">
        <v>4255</v>
      </c>
      <c r="C1962" t="s">
        <v>4311</v>
      </c>
      <c r="D1962" t="s">
        <v>159</v>
      </c>
      <c r="E1962" t="s">
        <v>18</v>
      </c>
      <c r="F1962" t="s">
        <v>4312</v>
      </c>
      <c r="G1962" t="str">
        <f>"00864538"</f>
        <v>00864538</v>
      </c>
      <c r="H1962">
        <v>38.4</v>
      </c>
      <c r="I1962">
        <v>10</v>
      </c>
      <c r="J1962">
        <v>8</v>
      </c>
      <c r="M1962">
        <v>8</v>
      </c>
      <c r="N1962">
        <v>0</v>
      </c>
      <c r="O1962">
        <v>0</v>
      </c>
      <c r="P1962">
        <v>56.4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C1962">
        <v>56.4</v>
      </c>
    </row>
    <row r="1963" spans="1:29">
      <c r="A1963">
        <v>1956</v>
      </c>
      <c r="B1963">
        <v>4677</v>
      </c>
      <c r="C1963" t="s">
        <v>1449</v>
      </c>
      <c r="D1963" t="s">
        <v>27</v>
      </c>
      <c r="E1963" t="s">
        <v>252</v>
      </c>
      <c r="F1963" t="s">
        <v>4310</v>
      </c>
      <c r="G1963" t="str">
        <f>"201511025041"</f>
        <v>201511025041</v>
      </c>
      <c r="H1963">
        <v>38.4</v>
      </c>
      <c r="I1963">
        <v>10</v>
      </c>
      <c r="L1963">
        <v>4</v>
      </c>
      <c r="M1963">
        <v>4</v>
      </c>
      <c r="N1963">
        <v>4</v>
      </c>
      <c r="O1963">
        <v>0</v>
      </c>
      <c r="P1963">
        <v>56.4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C1963">
        <v>56.4</v>
      </c>
    </row>
    <row r="1964" spans="1:29">
      <c r="A1964">
        <v>1957</v>
      </c>
      <c r="B1964">
        <v>1726</v>
      </c>
      <c r="C1964" t="s">
        <v>4313</v>
      </c>
      <c r="D1964" t="s">
        <v>175</v>
      </c>
      <c r="E1964" t="s">
        <v>237</v>
      </c>
      <c r="F1964" t="s">
        <v>4314</v>
      </c>
      <c r="G1964" t="str">
        <f>"201604004935"</f>
        <v>201604004935</v>
      </c>
      <c r="H1964">
        <v>43.2</v>
      </c>
      <c r="I1964">
        <v>0</v>
      </c>
      <c r="M1964">
        <v>0</v>
      </c>
      <c r="N1964">
        <v>4</v>
      </c>
      <c r="O1964">
        <v>0</v>
      </c>
      <c r="P1964">
        <v>47.2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9</v>
      </c>
      <c r="AA1964">
        <v>0</v>
      </c>
      <c r="AC1964">
        <v>56.2</v>
      </c>
    </row>
    <row r="1965" spans="1:29">
      <c r="A1965">
        <v>1958</v>
      </c>
      <c r="B1965">
        <v>2000</v>
      </c>
      <c r="C1965" t="s">
        <v>4315</v>
      </c>
      <c r="D1965" t="s">
        <v>95</v>
      </c>
      <c r="E1965" t="s">
        <v>227</v>
      </c>
      <c r="F1965" t="s">
        <v>4316</v>
      </c>
      <c r="G1965" t="str">
        <f>"00073197"</f>
        <v>00073197</v>
      </c>
      <c r="H1965">
        <v>38.200000000000003</v>
      </c>
      <c r="I1965">
        <v>0</v>
      </c>
      <c r="J1965">
        <v>8</v>
      </c>
      <c r="M1965">
        <v>8</v>
      </c>
      <c r="N1965">
        <v>4</v>
      </c>
      <c r="O1965">
        <v>0</v>
      </c>
      <c r="P1965">
        <v>50.2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6</v>
      </c>
      <c r="AA1965">
        <v>0</v>
      </c>
      <c r="AC1965">
        <v>56.2</v>
      </c>
    </row>
    <row r="1966" spans="1:29">
      <c r="A1966">
        <v>1959</v>
      </c>
      <c r="B1966">
        <v>2188</v>
      </c>
      <c r="C1966" t="s">
        <v>3902</v>
      </c>
      <c r="D1966" t="s">
        <v>1051</v>
      </c>
      <c r="E1966" t="s">
        <v>134</v>
      </c>
      <c r="F1966" t="s">
        <v>4317</v>
      </c>
      <c r="G1966" t="str">
        <f>"00861790"</f>
        <v>00861790</v>
      </c>
      <c r="H1966">
        <v>30.2</v>
      </c>
      <c r="I1966">
        <v>10</v>
      </c>
      <c r="J1966">
        <v>8</v>
      </c>
      <c r="M1966">
        <v>8</v>
      </c>
      <c r="N1966">
        <v>0</v>
      </c>
      <c r="O1966">
        <v>2</v>
      </c>
      <c r="P1966">
        <v>50.2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6</v>
      </c>
      <c r="AA1966">
        <v>0</v>
      </c>
      <c r="AC1966">
        <v>56.2</v>
      </c>
    </row>
    <row r="1967" spans="1:29">
      <c r="A1967">
        <v>1960</v>
      </c>
      <c r="B1967">
        <v>2303</v>
      </c>
      <c r="C1967" t="s">
        <v>4318</v>
      </c>
      <c r="D1967" t="s">
        <v>4319</v>
      </c>
      <c r="E1967" t="s">
        <v>1263</v>
      </c>
      <c r="F1967" t="s">
        <v>4320</v>
      </c>
      <c r="G1967" t="str">
        <f>"00580445"</f>
        <v>00580445</v>
      </c>
      <c r="H1967">
        <v>39.200000000000003</v>
      </c>
      <c r="I1967">
        <v>0</v>
      </c>
      <c r="J1967">
        <v>8</v>
      </c>
      <c r="M1967">
        <v>8</v>
      </c>
      <c r="N1967">
        <v>4</v>
      </c>
      <c r="O1967">
        <v>2</v>
      </c>
      <c r="P1967">
        <v>53.2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3</v>
      </c>
      <c r="AA1967">
        <v>0</v>
      </c>
      <c r="AC1967">
        <v>56.2</v>
      </c>
    </row>
    <row r="1968" spans="1:29">
      <c r="A1968">
        <v>1961</v>
      </c>
      <c r="B1968">
        <v>1182</v>
      </c>
      <c r="C1968" t="s">
        <v>4321</v>
      </c>
      <c r="D1968" t="s">
        <v>314</v>
      </c>
      <c r="E1968" t="s">
        <v>15</v>
      </c>
      <c r="F1968" t="s">
        <v>4322</v>
      </c>
      <c r="G1968" t="str">
        <f>"201511005766"</f>
        <v>201511005766</v>
      </c>
      <c r="H1968">
        <v>39.200000000000003</v>
      </c>
      <c r="I1968">
        <v>10</v>
      </c>
      <c r="M1968">
        <v>0</v>
      </c>
      <c r="N1968">
        <v>4</v>
      </c>
      <c r="O1968">
        <v>0</v>
      </c>
      <c r="P1968">
        <v>53.2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3</v>
      </c>
      <c r="AA1968">
        <v>0</v>
      </c>
      <c r="AC1968">
        <v>56.2</v>
      </c>
    </row>
    <row r="1969" spans="1:29">
      <c r="A1969">
        <v>1962</v>
      </c>
      <c r="B1969">
        <v>920</v>
      </c>
      <c r="C1969" t="s">
        <v>4323</v>
      </c>
      <c r="D1969" t="s">
        <v>95</v>
      </c>
      <c r="E1969" t="s">
        <v>796</v>
      </c>
      <c r="F1969" t="s">
        <v>4324</v>
      </c>
      <c r="G1969" t="str">
        <f>"201402008298"</f>
        <v>201402008298</v>
      </c>
      <c r="H1969">
        <v>39.200000000000003</v>
      </c>
      <c r="I1969">
        <v>0</v>
      </c>
      <c r="J1969">
        <v>8</v>
      </c>
      <c r="M1969">
        <v>8</v>
      </c>
      <c r="N1969">
        <v>4</v>
      </c>
      <c r="O1969">
        <v>2</v>
      </c>
      <c r="P1969">
        <v>53.2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3</v>
      </c>
      <c r="AA1969">
        <v>0</v>
      </c>
      <c r="AC1969">
        <v>56.2</v>
      </c>
    </row>
    <row r="1970" spans="1:29">
      <c r="A1970">
        <v>1963</v>
      </c>
      <c r="B1970">
        <v>2438</v>
      </c>
      <c r="C1970" t="s">
        <v>4325</v>
      </c>
      <c r="D1970" t="s">
        <v>210</v>
      </c>
      <c r="E1970" t="s">
        <v>187</v>
      </c>
      <c r="F1970" t="s">
        <v>4326</v>
      </c>
      <c r="G1970" t="str">
        <f>"00513022"</f>
        <v>00513022</v>
      </c>
      <c r="H1970">
        <v>7.2</v>
      </c>
      <c r="I1970">
        <v>0</v>
      </c>
      <c r="M1970">
        <v>0</v>
      </c>
      <c r="N1970">
        <v>4</v>
      </c>
      <c r="O1970">
        <v>2</v>
      </c>
      <c r="P1970">
        <v>13.2</v>
      </c>
      <c r="Q1970">
        <v>40</v>
      </c>
      <c r="R1970">
        <v>40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40</v>
      </c>
      <c r="Z1970">
        <v>3</v>
      </c>
      <c r="AA1970">
        <v>0</v>
      </c>
      <c r="AC1970">
        <v>56.2</v>
      </c>
    </row>
    <row r="1971" spans="1:29">
      <c r="A1971">
        <v>1964</v>
      </c>
      <c r="B1971">
        <v>295</v>
      </c>
      <c r="C1971" t="s">
        <v>4327</v>
      </c>
      <c r="D1971" t="s">
        <v>130</v>
      </c>
      <c r="E1971" t="s">
        <v>369</v>
      </c>
      <c r="F1971" t="s">
        <v>4328</v>
      </c>
      <c r="G1971" t="str">
        <f>"00654065"</f>
        <v>00654065</v>
      </c>
      <c r="H1971">
        <v>30.12</v>
      </c>
      <c r="I1971">
        <v>0</v>
      </c>
      <c r="K1971">
        <v>6</v>
      </c>
      <c r="M1971">
        <v>6</v>
      </c>
      <c r="N1971">
        <v>4</v>
      </c>
      <c r="O1971">
        <v>2</v>
      </c>
      <c r="P1971">
        <v>42.12</v>
      </c>
      <c r="Q1971">
        <v>8</v>
      </c>
      <c r="R1971">
        <v>8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8</v>
      </c>
      <c r="Z1971">
        <v>6</v>
      </c>
      <c r="AA1971">
        <v>0</v>
      </c>
      <c r="AC1971">
        <v>56.12</v>
      </c>
    </row>
    <row r="1972" spans="1:29">
      <c r="A1972">
        <v>1965</v>
      </c>
      <c r="B1972">
        <v>2807</v>
      </c>
      <c r="C1972" t="s">
        <v>2607</v>
      </c>
      <c r="D1972" t="s">
        <v>20</v>
      </c>
      <c r="E1972" t="s">
        <v>66</v>
      </c>
      <c r="F1972" t="s">
        <v>4333</v>
      </c>
      <c r="G1972" t="str">
        <f>"00603118"</f>
        <v>00603118</v>
      </c>
      <c r="H1972">
        <v>40</v>
      </c>
      <c r="I1972">
        <v>0</v>
      </c>
      <c r="L1972">
        <v>4</v>
      </c>
      <c r="M1972">
        <v>4</v>
      </c>
      <c r="N1972">
        <v>4</v>
      </c>
      <c r="O1972">
        <v>2</v>
      </c>
      <c r="P1972">
        <v>50</v>
      </c>
      <c r="Q1972">
        <v>0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6</v>
      </c>
      <c r="AA1972">
        <v>0</v>
      </c>
      <c r="AC1972">
        <v>56</v>
      </c>
    </row>
    <row r="1973" spans="1:29">
      <c r="A1973">
        <v>1966</v>
      </c>
      <c r="B1973">
        <v>1695</v>
      </c>
      <c r="C1973" t="s">
        <v>4334</v>
      </c>
      <c r="D1973" t="s">
        <v>159</v>
      </c>
      <c r="E1973" t="s">
        <v>36</v>
      </c>
      <c r="F1973" t="s">
        <v>4335</v>
      </c>
      <c r="G1973" t="str">
        <f>"00107301"</f>
        <v>00107301</v>
      </c>
      <c r="H1973">
        <v>40</v>
      </c>
      <c r="I1973">
        <v>0</v>
      </c>
      <c r="L1973">
        <v>4</v>
      </c>
      <c r="M1973">
        <v>4</v>
      </c>
      <c r="N1973">
        <v>4</v>
      </c>
      <c r="O1973">
        <v>2</v>
      </c>
      <c r="P1973">
        <v>50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6</v>
      </c>
      <c r="AA1973">
        <v>0</v>
      </c>
      <c r="AC1973">
        <v>56</v>
      </c>
    </row>
    <row r="1974" spans="1:29">
      <c r="A1974">
        <v>1967</v>
      </c>
      <c r="B1974">
        <v>3120</v>
      </c>
      <c r="C1974" t="s">
        <v>4336</v>
      </c>
      <c r="D1974" t="s">
        <v>2843</v>
      </c>
      <c r="E1974" t="s">
        <v>436</v>
      </c>
      <c r="F1974" t="s">
        <v>4337</v>
      </c>
      <c r="G1974" t="str">
        <f>"00733708"</f>
        <v>00733708</v>
      </c>
      <c r="H1974">
        <v>40</v>
      </c>
      <c r="I1974">
        <v>0</v>
      </c>
      <c r="L1974">
        <v>4</v>
      </c>
      <c r="M1974">
        <v>4</v>
      </c>
      <c r="N1974">
        <v>4</v>
      </c>
      <c r="O1974">
        <v>2</v>
      </c>
      <c r="P1974">
        <v>50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6</v>
      </c>
      <c r="AA1974">
        <v>0</v>
      </c>
      <c r="AC1974">
        <v>56</v>
      </c>
    </row>
    <row r="1975" spans="1:29">
      <c r="A1975">
        <v>1968</v>
      </c>
      <c r="B1975">
        <v>1027</v>
      </c>
      <c r="C1975" t="s">
        <v>4331</v>
      </c>
      <c r="D1975" t="s">
        <v>20</v>
      </c>
      <c r="E1975" t="s">
        <v>18</v>
      </c>
      <c r="F1975" t="s">
        <v>4332</v>
      </c>
      <c r="G1975" t="str">
        <f>"201511026865"</f>
        <v>201511026865</v>
      </c>
      <c r="H1975">
        <v>40</v>
      </c>
      <c r="I1975">
        <v>0</v>
      </c>
      <c r="L1975">
        <v>4</v>
      </c>
      <c r="M1975">
        <v>4</v>
      </c>
      <c r="N1975">
        <v>4</v>
      </c>
      <c r="O1975">
        <v>2</v>
      </c>
      <c r="P1975">
        <v>50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6</v>
      </c>
      <c r="AA1975">
        <v>0</v>
      </c>
      <c r="AC1975">
        <v>56</v>
      </c>
    </row>
    <row r="1976" spans="1:29">
      <c r="A1976">
        <v>1969</v>
      </c>
      <c r="B1976">
        <v>1742</v>
      </c>
      <c r="C1976" t="s">
        <v>4329</v>
      </c>
      <c r="D1976" t="s">
        <v>554</v>
      </c>
      <c r="E1976" t="s">
        <v>1450</v>
      </c>
      <c r="F1976" t="s">
        <v>4330</v>
      </c>
      <c r="G1976" t="str">
        <f>"00307833"</f>
        <v>00307833</v>
      </c>
      <c r="H1976">
        <v>40</v>
      </c>
      <c r="I1976">
        <v>0</v>
      </c>
      <c r="L1976">
        <v>4</v>
      </c>
      <c r="M1976">
        <v>4</v>
      </c>
      <c r="N1976">
        <v>4</v>
      </c>
      <c r="O1976">
        <v>2</v>
      </c>
      <c r="P1976">
        <v>50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6</v>
      </c>
      <c r="AA1976">
        <v>0</v>
      </c>
      <c r="AC1976">
        <v>56</v>
      </c>
    </row>
    <row r="1977" spans="1:29">
      <c r="A1977">
        <v>1970</v>
      </c>
      <c r="B1977">
        <v>4548</v>
      </c>
      <c r="C1977" t="s">
        <v>4338</v>
      </c>
      <c r="D1977" t="s">
        <v>2573</v>
      </c>
      <c r="E1977" t="s">
        <v>4339</v>
      </c>
      <c r="F1977" t="s">
        <v>4340</v>
      </c>
      <c r="G1977" t="str">
        <f>"00337739"</f>
        <v>00337739</v>
      </c>
      <c r="H1977">
        <v>38</v>
      </c>
      <c r="I1977">
        <v>0</v>
      </c>
      <c r="J1977">
        <v>8</v>
      </c>
      <c r="M1977">
        <v>8</v>
      </c>
      <c r="N1977">
        <v>4</v>
      </c>
      <c r="O1977">
        <v>0</v>
      </c>
      <c r="P1977">
        <v>50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6</v>
      </c>
      <c r="AA1977">
        <v>0</v>
      </c>
      <c r="AC1977">
        <v>56</v>
      </c>
    </row>
    <row r="1978" spans="1:29">
      <c r="A1978">
        <v>1971</v>
      </c>
      <c r="B1978">
        <v>4477</v>
      </c>
      <c r="C1978" t="s">
        <v>4341</v>
      </c>
      <c r="D1978" t="s">
        <v>115</v>
      </c>
      <c r="E1978" t="s">
        <v>889</v>
      </c>
      <c r="F1978" t="s">
        <v>4342</v>
      </c>
      <c r="G1978" t="str">
        <f>"00860813"</f>
        <v>00860813</v>
      </c>
      <c r="H1978">
        <v>36</v>
      </c>
      <c r="I1978">
        <v>0</v>
      </c>
      <c r="J1978">
        <v>8</v>
      </c>
      <c r="M1978">
        <v>8</v>
      </c>
      <c r="N1978">
        <v>4</v>
      </c>
      <c r="O1978">
        <v>2</v>
      </c>
      <c r="P1978">
        <v>50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6</v>
      </c>
      <c r="AA1978">
        <v>0</v>
      </c>
      <c r="AC1978">
        <v>56</v>
      </c>
    </row>
    <row r="1979" spans="1:29">
      <c r="A1979">
        <v>1972</v>
      </c>
      <c r="B1979">
        <v>621</v>
      </c>
      <c r="C1979" t="s">
        <v>4345</v>
      </c>
      <c r="D1979" t="s">
        <v>124</v>
      </c>
      <c r="E1979" t="s">
        <v>419</v>
      </c>
      <c r="F1979" t="s">
        <v>4346</v>
      </c>
      <c r="G1979" t="str">
        <f>"00726943"</f>
        <v>00726943</v>
      </c>
      <c r="H1979">
        <v>36</v>
      </c>
      <c r="I1979">
        <v>10</v>
      </c>
      <c r="M1979">
        <v>0</v>
      </c>
      <c r="N1979">
        <v>4</v>
      </c>
      <c r="O1979">
        <v>0</v>
      </c>
      <c r="P1979">
        <v>50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6</v>
      </c>
      <c r="AA1979">
        <v>0</v>
      </c>
      <c r="AC1979">
        <v>56</v>
      </c>
    </row>
    <row r="1980" spans="1:29">
      <c r="A1980">
        <v>1973</v>
      </c>
      <c r="B1980">
        <v>2042</v>
      </c>
      <c r="C1980" t="s">
        <v>4343</v>
      </c>
      <c r="D1980" t="s">
        <v>52</v>
      </c>
      <c r="E1980" t="s">
        <v>66</v>
      </c>
      <c r="F1980" t="s">
        <v>4344</v>
      </c>
      <c r="G1980" t="str">
        <f>"200802008719"</f>
        <v>200802008719</v>
      </c>
      <c r="H1980">
        <v>36</v>
      </c>
      <c r="I1980">
        <v>0</v>
      </c>
      <c r="L1980">
        <v>8</v>
      </c>
      <c r="M1980">
        <v>8</v>
      </c>
      <c r="N1980">
        <v>4</v>
      </c>
      <c r="O1980">
        <v>2</v>
      </c>
      <c r="P1980">
        <v>50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6</v>
      </c>
      <c r="AA1980">
        <v>0</v>
      </c>
      <c r="AC1980">
        <v>56</v>
      </c>
    </row>
    <row r="1981" spans="1:29">
      <c r="A1981">
        <v>1974</v>
      </c>
      <c r="B1981">
        <v>723</v>
      </c>
      <c r="C1981" t="s">
        <v>1531</v>
      </c>
      <c r="D1981" t="s">
        <v>108</v>
      </c>
      <c r="E1981" t="s">
        <v>15</v>
      </c>
      <c r="F1981" t="s">
        <v>4351</v>
      </c>
      <c r="G1981" t="str">
        <f>"201402008598"</f>
        <v>201402008598</v>
      </c>
      <c r="H1981">
        <v>40</v>
      </c>
      <c r="I1981">
        <v>10</v>
      </c>
      <c r="M1981">
        <v>0</v>
      </c>
      <c r="N1981">
        <v>4</v>
      </c>
      <c r="O1981">
        <v>2</v>
      </c>
      <c r="P1981">
        <v>56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0</v>
      </c>
      <c r="AC1981">
        <v>56</v>
      </c>
    </row>
    <row r="1982" spans="1:29">
      <c r="A1982">
        <v>1975</v>
      </c>
      <c r="B1982">
        <v>2358</v>
      </c>
      <c r="C1982" t="s">
        <v>698</v>
      </c>
      <c r="D1982" t="s">
        <v>24</v>
      </c>
      <c r="E1982" t="s">
        <v>322</v>
      </c>
      <c r="F1982" t="s">
        <v>4350</v>
      </c>
      <c r="G1982" t="str">
        <f>"00855048"</f>
        <v>00855048</v>
      </c>
      <c r="H1982">
        <v>40</v>
      </c>
      <c r="I1982">
        <v>10</v>
      </c>
      <c r="M1982">
        <v>0</v>
      </c>
      <c r="N1982">
        <v>4</v>
      </c>
      <c r="O1982">
        <v>2</v>
      </c>
      <c r="P1982">
        <v>56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C1982">
        <v>56</v>
      </c>
    </row>
    <row r="1983" spans="1:29">
      <c r="A1983">
        <v>1976</v>
      </c>
      <c r="B1983">
        <v>2749</v>
      </c>
      <c r="C1983" t="s">
        <v>4347</v>
      </c>
      <c r="D1983" t="s">
        <v>465</v>
      </c>
      <c r="E1983" t="s">
        <v>66</v>
      </c>
      <c r="F1983" t="s">
        <v>4348</v>
      </c>
      <c r="G1983" t="str">
        <f>"00859183"</f>
        <v>00859183</v>
      </c>
      <c r="H1983">
        <v>40</v>
      </c>
      <c r="I1983">
        <v>10</v>
      </c>
      <c r="M1983">
        <v>0</v>
      </c>
      <c r="N1983">
        <v>4</v>
      </c>
      <c r="O1983">
        <v>2</v>
      </c>
      <c r="P1983">
        <v>56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  <c r="AA1983">
        <v>0</v>
      </c>
      <c r="AC1983">
        <v>56</v>
      </c>
    </row>
    <row r="1984" spans="1:29">
      <c r="A1984">
        <v>1977</v>
      </c>
      <c r="B1984">
        <v>3286</v>
      </c>
      <c r="C1984" t="s">
        <v>178</v>
      </c>
      <c r="D1984" t="s">
        <v>27</v>
      </c>
      <c r="E1984" t="s">
        <v>3453</v>
      </c>
      <c r="F1984" t="s">
        <v>4349</v>
      </c>
      <c r="G1984" t="str">
        <f>"00221477"</f>
        <v>00221477</v>
      </c>
      <c r="H1984">
        <v>40</v>
      </c>
      <c r="I1984">
        <v>10</v>
      </c>
      <c r="M1984">
        <v>0</v>
      </c>
      <c r="N1984">
        <v>4</v>
      </c>
      <c r="O1984">
        <v>2</v>
      </c>
      <c r="P1984">
        <v>56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C1984">
        <v>56</v>
      </c>
    </row>
    <row r="1985" spans="1:29">
      <c r="A1985">
        <v>1978</v>
      </c>
      <c r="B1985">
        <v>269</v>
      </c>
      <c r="C1985" t="s">
        <v>4352</v>
      </c>
      <c r="D1985" t="s">
        <v>3733</v>
      </c>
      <c r="E1985" t="s">
        <v>79</v>
      </c>
      <c r="F1985" t="s">
        <v>4353</v>
      </c>
      <c r="G1985" t="str">
        <f>"201402011092"</f>
        <v>201402011092</v>
      </c>
      <c r="H1985">
        <v>36</v>
      </c>
      <c r="I1985">
        <v>10</v>
      </c>
      <c r="L1985">
        <v>4</v>
      </c>
      <c r="M1985">
        <v>4</v>
      </c>
      <c r="N1985">
        <v>4</v>
      </c>
      <c r="O1985">
        <v>2</v>
      </c>
      <c r="P1985">
        <v>56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C1985">
        <v>56</v>
      </c>
    </row>
    <row r="1986" spans="1:29">
      <c r="A1986">
        <v>1979</v>
      </c>
      <c r="B1986">
        <v>4601</v>
      </c>
      <c r="C1986" t="s">
        <v>4354</v>
      </c>
      <c r="D1986" t="s">
        <v>20</v>
      </c>
      <c r="E1986" t="s">
        <v>233</v>
      </c>
      <c r="F1986" t="s">
        <v>4355</v>
      </c>
      <c r="G1986" t="str">
        <f>"00808082"</f>
        <v>00808082</v>
      </c>
      <c r="H1986">
        <v>36</v>
      </c>
      <c r="I1986">
        <v>10</v>
      </c>
      <c r="K1986">
        <v>6</v>
      </c>
      <c r="M1986">
        <v>6</v>
      </c>
      <c r="N1986">
        <v>4</v>
      </c>
      <c r="O1986">
        <v>0</v>
      </c>
      <c r="P1986">
        <v>56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C1986">
        <v>56</v>
      </c>
    </row>
    <row r="1987" spans="1:29">
      <c r="A1987">
        <v>1980</v>
      </c>
      <c r="B1987">
        <v>892</v>
      </c>
      <c r="C1987" t="s">
        <v>4356</v>
      </c>
      <c r="D1987" t="s">
        <v>155</v>
      </c>
      <c r="E1987" t="s">
        <v>36</v>
      </c>
      <c r="F1987" t="s">
        <v>4357</v>
      </c>
      <c r="G1987" t="str">
        <f>"200907000008"</f>
        <v>200907000008</v>
      </c>
      <c r="H1987">
        <v>20.92</v>
      </c>
      <c r="I1987">
        <v>10</v>
      </c>
      <c r="M1987">
        <v>0</v>
      </c>
      <c r="N1987">
        <v>4</v>
      </c>
      <c r="O1987">
        <v>2</v>
      </c>
      <c r="P1987">
        <v>36.92</v>
      </c>
      <c r="Q1987">
        <v>13</v>
      </c>
      <c r="R1987">
        <v>13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13</v>
      </c>
      <c r="Z1987">
        <v>6</v>
      </c>
      <c r="AA1987">
        <v>0</v>
      </c>
      <c r="AC1987">
        <v>55.92</v>
      </c>
    </row>
    <row r="1988" spans="1:29">
      <c r="A1988">
        <v>1981</v>
      </c>
      <c r="B1988">
        <v>2620</v>
      </c>
      <c r="C1988" t="s">
        <v>1248</v>
      </c>
      <c r="D1988" t="s">
        <v>95</v>
      </c>
      <c r="E1988" t="s">
        <v>436</v>
      </c>
      <c r="F1988" t="s">
        <v>4358</v>
      </c>
      <c r="G1988" t="str">
        <f>"00076768"</f>
        <v>00076768</v>
      </c>
      <c r="H1988">
        <v>22.92</v>
      </c>
      <c r="I1988">
        <v>0</v>
      </c>
      <c r="M1988">
        <v>0</v>
      </c>
      <c r="N1988">
        <v>4</v>
      </c>
      <c r="O1988">
        <v>0</v>
      </c>
      <c r="P1988">
        <v>26.92</v>
      </c>
      <c r="Q1988">
        <v>29</v>
      </c>
      <c r="R1988">
        <v>29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29</v>
      </c>
      <c r="Z1988">
        <v>0</v>
      </c>
      <c r="AA1988">
        <v>0</v>
      </c>
      <c r="AC1988">
        <v>55.92</v>
      </c>
    </row>
    <row r="1989" spans="1:29">
      <c r="A1989">
        <v>1982</v>
      </c>
      <c r="B1989">
        <v>4168</v>
      </c>
      <c r="C1989" t="s">
        <v>4359</v>
      </c>
      <c r="D1989" t="s">
        <v>27</v>
      </c>
      <c r="E1989" t="s">
        <v>873</v>
      </c>
      <c r="F1989" t="s">
        <v>4360</v>
      </c>
      <c r="G1989" t="str">
        <f>"00533022"</f>
        <v>00533022</v>
      </c>
      <c r="H1989">
        <v>14.4</v>
      </c>
      <c r="I1989">
        <v>10</v>
      </c>
      <c r="L1989">
        <v>4</v>
      </c>
      <c r="M1989">
        <v>4</v>
      </c>
      <c r="N1989">
        <v>4</v>
      </c>
      <c r="O1989">
        <v>0</v>
      </c>
      <c r="P1989">
        <v>32.4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3</v>
      </c>
      <c r="AA1989">
        <v>20.399999999999999</v>
      </c>
      <c r="AC1989">
        <v>55.8</v>
      </c>
    </row>
    <row r="1990" spans="1:29">
      <c r="A1990">
        <v>1983</v>
      </c>
      <c r="B1990">
        <v>3900</v>
      </c>
      <c r="C1990" t="s">
        <v>4361</v>
      </c>
      <c r="D1990" t="s">
        <v>4362</v>
      </c>
      <c r="E1990" t="s">
        <v>1701</v>
      </c>
      <c r="F1990" t="s">
        <v>4363</v>
      </c>
      <c r="G1990" t="str">
        <f>"00450960"</f>
        <v>00450960</v>
      </c>
      <c r="H1990">
        <v>32.799999999999997</v>
      </c>
      <c r="I1990">
        <v>10</v>
      </c>
      <c r="M1990">
        <v>0</v>
      </c>
      <c r="N1990">
        <v>4</v>
      </c>
      <c r="O1990">
        <v>0</v>
      </c>
      <c r="P1990">
        <v>46.8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0</v>
      </c>
      <c r="Z1990">
        <v>9</v>
      </c>
      <c r="AA1990">
        <v>0</v>
      </c>
      <c r="AC1990">
        <v>55.8</v>
      </c>
    </row>
    <row r="1991" spans="1:29">
      <c r="A1991">
        <v>1984</v>
      </c>
      <c r="B1991">
        <v>270</v>
      </c>
      <c r="C1991" t="s">
        <v>226</v>
      </c>
      <c r="D1991" t="s">
        <v>24</v>
      </c>
      <c r="E1991" t="s">
        <v>18</v>
      </c>
      <c r="F1991" t="s">
        <v>4364</v>
      </c>
      <c r="G1991" t="str">
        <f>"00557473"</f>
        <v>00557473</v>
      </c>
      <c r="H1991">
        <v>28.8</v>
      </c>
      <c r="I1991">
        <v>10</v>
      </c>
      <c r="L1991">
        <v>4</v>
      </c>
      <c r="M1991">
        <v>4</v>
      </c>
      <c r="N1991">
        <v>4</v>
      </c>
      <c r="O1991">
        <v>0</v>
      </c>
      <c r="P1991">
        <v>46.8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9</v>
      </c>
      <c r="AA1991">
        <v>0</v>
      </c>
      <c r="AC1991">
        <v>55.8</v>
      </c>
    </row>
    <row r="1992" spans="1:29">
      <c r="A1992">
        <v>1985</v>
      </c>
      <c r="B1992">
        <v>3455</v>
      </c>
      <c r="C1992" t="s">
        <v>4365</v>
      </c>
      <c r="D1992" t="s">
        <v>248</v>
      </c>
      <c r="E1992" t="s">
        <v>15</v>
      </c>
      <c r="F1992" t="s">
        <v>4366</v>
      </c>
      <c r="G1992" t="str">
        <f>"201512000648"</f>
        <v>201512000648</v>
      </c>
      <c r="H1992">
        <v>25.8</v>
      </c>
      <c r="I1992">
        <v>0</v>
      </c>
      <c r="M1992">
        <v>0</v>
      </c>
      <c r="N1992">
        <v>4</v>
      </c>
      <c r="O1992">
        <v>2</v>
      </c>
      <c r="P1992">
        <v>31.8</v>
      </c>
      <c r="Q1992">
        <v>18</v>
      </c>
      <c r="R1992">
        <v>18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18</v>
      </c>
      <c r="Z1992">
        <v>6</v>
      </c>
      <c r="AA1992">
        <v>0</v>
      </c>
      <c r="AC1992">
        <v>55.8</v>
      </c>
    </row>
    <row r="1993" spans="1:29">
      <c r="A1993">
        <v>1986</v>
      </c>
      <c r="B1993">
        <v>2533</v>
      </c>
      <c r="C1993" t="s">
        <v>4367</v>
      </c>
      <c r="D1993" t="s">
        <v>52</v>
      </c>
      <c r="E1993" t="s">
        <v>4368</v>
      </c>
      <c r="F1993" t="s">
        <v>4369</v>
      </c>
      <c r="G1993" t="str">
        <f>"00555680"</f>
        <v>00555680</v>
      </c>
      <c r="H1993">
        <v>38.799999999999997</v>
      </c>
      <c r="I1993">
        <v>10</v>
      </c>
      <c r="M1993">
        <v>0</v>
      </c>
      <c r="N1993">
        <v>4</v>
      </c>
      <c r="O1993">
        <v>0</v>
      </c>
      <c r="P1993">
        <v>52.8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3</v>
      </c>
      <c r="AA1993">
        <v>0</v>
      </c>
      <c r="AC1993">
        <v>55.8</v>
      </c>
    </row>
    <row r="1994" spans="1:29">
      <c r="A1994">
        <v>1987</v>
      </c>
      <c r="B1994">
        <v>3870</v>
      </c>
      <c r="C1994" t="s">
        <v>4370</v>
      </c>
      <c r="D1994" t="s">
        <v>784</v>
      </c>
      <c r="E1994" t="s">
        <v>79</v>
      </c>
      <c r="F1994" t="s">
        <v>4371</v>
      </c>
      <c r="G1994" t="str">
        <f>"00390737"</f>
        <v>00390737</v>
      </c>
      <c r="H1994">
        <v>28.8</v>
      </c>
      <c r="I1994">
        <v>0</v>
      </c>
      <c r="M1994">
        <v>0</v>
      </c>
      <c r="N1994">
        <v>4</v>
      </c>
      <c r="O1994">
        <v>2</v>
      </c>
      <c r="P1994">
        <v>34.799999999999997</v>
      </c>
      <c r="Q1994">
        <v>18</v>
      </c>
      <c r="R1994">
        <v>18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18</v>
      </c>
      <c r="Z1994">
        <v>3</v>
      </c>
      <c r="AA1994">
        <v>0</v>
      </c>
      <c r="AC1994">
        <v>55.8</v>
      </c>
    </row>
    <row r="1995" spans="1:29">
      <c r="A1995">
        <v>1988</v>
      </c>
      <c r="B1995">
        <v>2065</v>
      </c>
      <c r="C1995" t="s">
        <v>178</v>
      </c>
      <c r="D1995" t="s">
        <v>113</v>
      </c>
      <c r="E1995" t="s">
        <v>18</v>
      </c>
      <c r="F1995" t="s">
        <v>4372</v>
      </c>
      <c r="G1995" t="str">
        <f>"00039352"</f>
        <v>00039352</v>
      </c>
      <c r="H1995">
        <v>37.72</v>
      </c>
      <c r="I1995">
        <v>0</v>
      </c>
      <c r="L1995">
        <v>8</v>
      </c>
      <c r="M1995">
        <v>8</v>
      </c>
      <c r="N1995">
        <v>4</v>
      </c>
      <c r="O1995">
        <v>0</v>
      </c>
      <c r="P1995">
        <v>49.72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6</v>
      </c>
      <c r="AA1995">
        <v>0</v>
      </c>
      <c r="AC1995">
        <v>55.72</v>
      </c>
    </row>
    <row r="1996" spans="1:29">
      <c r="A1996">
        <v>1989</v>
      </c>
      <c r="B1996">
        <v>2069</v>
      </c>
      <c r="C1996" t="s">
        <v>4373</v>
      </c>
      <c r="D1996" t="s">
        <v>205</v>
      </c>
      <c r="E1996" t="s">
        <v>115</v>
      </c>
      <c r="F1996" t="s">
        <v>4374</v>
      </c>
      <c r="G1996" t="str">
        <f>"00560519"</f>
        <v>00560519</v>
      </c>
      <c r="H1996">
        <v>37.72</v>
      </c>
      <c r="I1996">
        <v>0</v>
      </c>
      <c r="J1996">
        <v>8</v>
      </c>
      <c r="M1996">
        <v>8</v>
      </c>
      <c r="N1996">
        <v>4</v>
      </c>
      <c r="O1996">
        <v>0</v>
      </c>
      <c r="P1996">
        <v>49.72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6</v>
      </c>
      <c r="AA1996">
        <v>0</v>
      </c>
      <c r="AC1996">
        <v>55.72</v>
      </c>
    </row>
    <row r="1997" spans="1:29">
      <c r="A1997">
        <v>1990</v>
      </c>
      <c r="B1997">
        <v>1465</v>
      </c>
      <c r="C1997" t="s">
        <v>4381</v>
      </c>
      <c r="D1997" t="s">
        <v>1695</v>
      </c>
      <c r="E1997" t="s">
        <v>2001</v>
      </c>
      <c r="F1997" t="s">
        <v>4382</v>
      </c>
      <c r="G1997" t="str">
        <f>"00387762"</f>
        <v>00387762</v>
      </c>
      <c r="H1997">
        <v>39.6</v>
      </c>
      <c r="I1997">
        <v>0</v>
      </c>
      <c r="L1997">
        <v>4</v>
      </c>
      <c r="M1997">
        <v>4</v>
      </c>
      <c r="N1997">
        <v>4</v>
      </c>
      <c r="O1997">
        <v>2</v>
      </c>
      <c r="P1997">
        <v>49.6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6</v>
      </c>
      <c r="AA1997">
        <v>0</v>
      </c>
      <c r="AC1997">
        <v>55.6</v>
      </c>
    </row>
    <row r="1998" spans="1:29">
      <c r="A1998">
        <v>1991</v>
      </c>
      <c r="B1998">
        <v>1541</v>
      </c>
      <c r="C1998" t="s">
        <v>4375</v>
      </c>
      <c r="D1998" t="s">
        <v>39</v>
      </c>
      <c r="E1998" t="s">
        <v>889</v>
      </c>
      <c r="F1998" t="s">
        <v>4376</v>
      </c>
      <c r="G1998" t="str">
        <f>"00194298"</f>
        <v>00194298</v>
      </c>
      <c r="H1998">
        <v>39.6</v>
      </c>
      <c r="I1998">
        <v>0</v>
      </c>
      <c r="L1998">
        <v>4</v>
      </c>
      <c r="M1998">
        <v>4</v>
      </c>
      <c r="N1998">
        <v>4</v>
      </c>
      <c r="O1998">
        <v>2</v>
      </c>
      <c r="P1998">
        <v>49.6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6</v>
      </c>
      <c r="AA1998">
        <v>0</v>
      </c>
      <c r="AC1998">
        <v>55.6</v>
      </c>
    </row>
    <row r="1999" spans="1:29">
      <c r="A1999">
        <v>1992</v>
      </c>
      <c r="B1999">
        <v>2539</v>
      </c>
      <c r="C1999" t="s">
        <v>4379</v>
      </c>
      <c r="D1999" t="s">
        <v>952</v>
      </c>
      <c r="E1999" t="s">
        <v>122</v>
      </c>
      <c r="F1999" t="s">
        <v>4380</v>
      </c>
      <c r="G1999" t="str">
        <f>"00862022"</f>
        <v>00862022</v>
      </c>
      <c r="H1999">
        <v>39.6</v>
      </c>
      <c r="I1999">
        <v>0</v>
      </c>
      <c r="L1999">
        <v>4</v>
      </c>
      <c r="M1999">
        <v>4</v>
      </c>
      <c r="N1999">
        <v>4</v>
      </c>
      <c r="O1999">
        <v>2</v>
      </c>
      <c r="P1999">
        <v>49.6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6</v>
      </c>
      <c r="AA1999">
        <v>0</v>
      </c>
      <c r="AC1999">
        <v>55.6</v>
      </c>
    </row>
    <row r="2000" spans="1:29">
      <c r="A2000">
        <v>1993</v>
      </c>
      <c r="B2000">
        <v>3011</v>
      </c>
      <c r="C2000" t="s">
        <v>4377</v>
      </c>
      <c r="D2000" t="s">
        <v>216</v>
      </c>
      <c r="E2000" t="s">
        <v>115</v>
      </c>
      <c r="F2000" t="s">
        <v>4378</v>
      </c>
      <c r="G2000" t="str">
        <f>"00090570"</f>
        <v>00090570</v>
      </c>
      <c r="H2000">
        <v>39.6</v>
      </c>
      <c r="I2000">
        <v>10</v>
      </c>
      <c r="M2000">
        <v>0</v>
      </c>
      <c r="N2000">
        <v>0</v>
      </c>
      <c r="O2000">
        <v>0</v>
      </c>
      <c r="P2000">
        <v>49.6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6</v>
      </c>
      <c r="AA2000">
        <v>0</v>
      </c>
      <c r="AC2000">
        <v>55.6</v>
      </c>
    </row>
    <row r="2001" spans="1:29">
      <c r="A2001">
        <v>1994</v>
      </c>
      <c r="B2001">
        <v>3245</v>
      </c>
      <c r="C2001" t="s">
        <v>4383</v>
      </c>
      <c r="D2001" t="s">
        <v>155</v>
      </c>
      <c r="E2001" t="s">
        <v>156</v>
      </c>
      <c r="F2001" t="s">
        <v>4384</v>
      </c>
      <c r="G2001" t="str">
        <f>"00513349"</f>
        <v>00513349</v>
      </c>
      <c r="H2001">
        <v>31.6</v>
      </c>
      <c r="I2001">
        <v>0</v>
      </c>
      <c r="M2001">
        <v>0</v>
      </c>
      <c r="N2001">
        <v>0</v>
      </c>
      <c r="O2001">
        <v>2</v>
      </c>
      <c r="P2001">
        <v>33.6</v>
      </c>
      <c r="Q2001">
        <v>16</v>
      </c>
      <c r="R2001">
        <v>16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16</v>
      </c>
      <c r="Z2001">
        <v>6</v>
      </c>
      <c r="AA2001">
        <v>0</v>
      </c>
      <c r="AC2001">
        <v>55.6</v>
      </c>
    </row>
    <row r="2002" spans="1:29">
      <c r="A2002">
        <v>1995</v>
      </c>
      <c r="B2002">
        <v>3524</v>
      </c>
      <c r="C2002" t="s">
        <v>4385</v>
      </c>
      <c r="D2002" t="s">
        <v>4386</v>
      </c>
      <c r="E2002" t="s">
        <v>15</v>
      </c>
      <c r="F2002" t="s">
        <v>4387</v>
      </c>
      <c r="G2002" t="str">
        <f>"00526632"</f>
        <v>00526632</v>
      </c>
      <c r="H2002">
        <v>21.6</v>
      </c>
      <c r="I2002">
        <v>10</v>
      </c>
      <c r="M2002">
        <v>0</v>
      </c>
      <c r="N2002">
        <v>0</v>
      </c>
      <c r="O2002">
        <v>0</v>
      </c>
      <c r="P2002">
        <v>31.6</v>
      </c>
      <c r="Q2002">
        <v>18</v>
      </c>
      <c r="R2002">
        <v>18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18</v>
      </c>
      <c r="Z2002">
        <v>6</v>
      </c>
      <c r="AA2002">
        <v>0</v>
      </c>
      <c r="AC2002">
        <v>55.6</v>
      </c>
    </row>
    <row r="2003" spans="1:29">
      <c r="A2003">
        <v>1996</v>
      </c>
      <c r="B2003">
        <v>3634</v>
      </c>
      <c r="C2003" t="s">
        <v>4388</v>
      </c>
      <c r="D2003" t="s">
        <v>108</v>
      </c>
      <c r="E2003" t="s">
        <v>233</v>
      </c>
      <c r="F2003" t="s">
        <v>4389</v>
      </c>
      <c r="G2003" t="str">
        <f>"201401000829"</f>
        <v>201401000829</v>
      </c>
      <c r="H2003">
        <v>37.6</v>
      </c>
      <c r="I2003">
        <v>10</v>
      </c>
      <c r="L2003">
        <v>4</v>
      </c>
      <c r="M2003">
        <v>4</v>
      </c>
      <c r="N2003">
        <v>4</v>
      </c>
      <c r="O2003">
        <v>0</v>
      </c>
      <c r="P2003">
        <v>55.6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C2003">
        <v>55.6</v>
      </c>
    </row>
    <row r="2004" spans="1:29">
      <c r="A2004">
        <v>1997</v>
      </c>
      <c r="B2004">
        <v>63</v>
      </c>
      <c r="C2004" t="s">
        <v>4390</v>
      </c>
      <c r="D2004" t="s">
        <v>1577</v>
      </c>
      <c r="E2004" t="s">
        <v>304</v>
      </c>
      <c r="F2004" t="s">
        <v>4391</v>
      </c>
      <c r="G2004" t="str">
        <f>"00472354"</f>
        <v>00472354</v>
      </c>
      <c r="H2004">
        <v>14.4</v>
      </c>
      <c r="I2004">
        <v>0</v>
      </c>
      <c r="M2004">
        <v>0</v>
      </c>
      <c r="N2004">
        <v>0</v>
      </c>
      <c r="O2004">
        <v>0</v>
      </c>
      <c r="P2004">
        <v>14.4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9</v>
      </c>
      <c r="AA2004">
        <v>32</v>
      </c>
      <c r="AC2004">
        <v>55.4</v>
      </c>
    </row>
    <row r="2005" spans="1:29">
      <c r="A2005">
        <v>1998</v>
      </c>
      <c r="B2005">
        <v>1388</v>
      </c>
      <c r="C2005" t="s">
        <v>1642</v>
      </c>
      <c r="D2005" t="s">
        <v>2545</v>
      </c>
      <c r="E2005" t="s">
        <v>12</v>
      </c>
      <c r="F2005" t="s">
        <v>4392</v>
      </c>
      <c r="G2005" t="str">
        <f>"00557843"</f>
        <v>00557843</v>
      </c>
      <c r="H2005">
        <v>38.4</v>
      </c>
      <c r="I2005">
        <v>10</v>
      </c>
      <c r="M2005">
        <v>0</v>
      </c>
      <c r="N2005">
        <v>0</v>
      </c>
      <c r="O2005">
        <v>2</v>
      </c>
      <c r="P2005">
        <v>50.4</v>
      </c>
      <c r="Q2005">
        <v>5</v>
      </c>
      <c r="R2005">
        <v>5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5</v>
      </c>
      <c r="Z2005">
        <v>0</v>
      </c>
      <c r="AA2005">
        <v>0</v>
      </c>
      <c r="AC2005">
        <v>55.4</v>
      </c>
    </row>
    <row r="2006" spans="1:29">
      <c r="A2006">
        <v>1999</v>
      </c>
      <c r="B2006">
        <v>3110</v>
      </c>
      <c r="C2006" t="s">
        <v>4393</v>
      </c>
      <c r="D2006" t="s">
        <v>248</v>
      </c>
      <c r="E2006" t="s">
        <v>4394</v>
      </c>
      <c r="F2006" t="s">
        <v>4395</v>
      </c>
      <c r="G2006" t="str">
        <f>"00472669"</f>
        <v>00472669</v>
      </c>
      <c r="H2006">
        <v>36.4</v>
      </c>
      <c r="I2006">
        <v>10</v>
      </c>
      <c r="M2006">
        <v>0</v>
      </c>
      <c r="N2006">
        <v>4</v>
      </c>
      <c r="O2006">
        <v>0</v>
      </c>
      <c r="P2006">
        <v>50.4</v>
      </c>
      <c r="Q2006">
        <v>5</v>
      </c>
      <c r="R2006">
        <v>5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5</v>
      </c>
      <c r="Z2006">
        <v>0</v>
      </c>
      <c r="AA2006">
        <v>0</v>
      </c>
      <c r="AC2006">
        <v>55.4</v>
      </c>
    </row>
    <row r="2007" spans="1:29">
      <c r="A2007">
        <v>2000</v>
      </c>
      <c r="B2007">
        <v>3625</v>
      </c>
      <c r="C2007" t="s">
        <v>72</v>
      </c>
      <c r="D2007" t="s">
        <v>86</v>
      </c>
      <c r="E2007" t="s">
        <v>410</v>
      </c>
      <c r="F2007" t="s">
        <v>4396</v>
      </c>
      <c r="G2007" t="str">
        <f>"00161693"</f>
        <v>00161693</v>
      </c>
      <c r="H2007">
        <v>14.4</v>
      </c>
      <c r="I2007">
        <v>0</v>
      </c>
      <c r="L2007">
        <v>4</v>
      </c>
      <c r="M2007">
        <v>4</v>
      </c>
      <c r="N2007">
        <v>4</v>
      </c>
      <c r="O2007">
        <v>2</v>
      </c>
      <c r="P2007">
        <v>24.4</v>
      </c>
      <c r="Q2007">
        <v>31</v>
      </c>
      <c r="R2007">
        <v>31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31</v>
      </c>
      <c r="Z2007">
        <v>0</v>
      </c>
      <c r="AA2007">
        <v>0</v>
      </c>
      <c r="AC2007">
        <v>55.4</v>
      </c>
    </row>
    <row r="2008" spans="1:29">
      <c r="A2008">
        <v>2001</v>
      </c>
      <c r="B2008">
        <v>1142</v>
      </c>
      <c r="C2008" t="s">
        <v>4397</v>
      </c>
      <c r="D2008" t="s">
        <v>4398</v>
      </c>
      <c r="E2008" t="s">
        <v>15</v>
      </c>
      <c r="F2008" t="s">
        <v>4399</v>
      </c>
      <c r="G2008" t="str">
        <f>"00533196"</f>
        <v>00533196</v>
      </c>
      <c r="H2008">
        <v>20.28</v>
      </c>
      <c r="I2008">
        <v>0</v>
      </c>
      <c r="M2008">
        <v>0</v>
      </c>
      <c r="N2008">
        <v>0</v>
      </c>
      <c r="O2008">
        <v>0</v>
      </c>
      <c r="P2008">
        <v>20.28</v>
      </c>
      <c r="Q2008">
        <v>29</v>
      </c>
      <c r="R2008">
        <v>29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29</v>
      </c>
      <c r="Z2008">
        <v>6</v>
      </c>
      <c r="AA2008">
        <v>0</v>
      </c>
      <c r="AC2008">
        <v>55.28</v>
      </c>
    </row>
    <row r="2009" spans="1:29">
      <c r="A2009">
        <v>2002</v>
      </c>
      <c r="B2009">
        <v>912</v>
      </c>
      <c r="C2009" t="s">
        <v>4000</v>
      </c>
      <c r="D2009" t="s">
        <v>694</v>
      </c>
      <c r="E2009" t="s">
        <v>1460</v>
      </c>
      <c r="F2009" t="s">
        <v>4400</v>
      </c>
      <c r="G2009" t="str">
        <f>"00644628"</f>
        <v>00644628</v>
      </c>
      <c r="H2009">
        <v>43.2</v>
      </c>
      <c r="I2009">
        <v>0</v>
      </c>
      <c r="M2009">
        <v>0</v>
      </c>
      <c r="N2009">
        <v>4</v>
      </c>
      <c r="O2009">
        <v>2</v>
      </c>
      <c r="P2009">
        <v>49.2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6</v>
      </c>
      <c r="AA2009">
        <v>0</v>
      </c>
      <c r="AC2009">
        <v>55.2</v>
      </c>
    </row>
    <row r="2010" spans="1:29">
      <c r="A2010">
        <v>2003</v>
      </c>
      <c r="B2010">
        <v>1990</v>
      </c>
      <c r="C2010" t="s">
        <v>4404</v>
      </c>
      <c r="D2010" t="s">
        <v>27</v>
      </c>
      <c r="E2010" t="s">
        <v>889</v>
      </c>
      <c r="F2010" t="s">
        <v>4405</v>
      </c>
      <c r="G2010" t="str">
        <f>"00756267"</f>
        <v>00756267</v>
      </c>
      <c r="H2010">
        <v>43.2</v>
      </c>
      <c r="I2010">
        <v>0</v>
      </c>
      <c r="M2010">
        <v>0</v>
      </c>
      <c r="N2010">
        <v>4</v>
      </c>
      <c r="O2010">
        <v>2</v>
      </c>
      <c r="P2010">
        <v>49.2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v>6</v>
      </c>
      <c r="AA2010">
        <v>0</v>
      </c>
      <c r="AC2010">
        <v>55.2</v>
      </c>
    </row>
    <row r="2011" spans="1:29">
      <c r="A2011">
        <v>2004</v>
      </c>
      <c r="B2011">
        <v>1097</v>
      </c>
      <c r="C2011" t="s">
        <v>4401</v>
      </c>
      <c r="D2011" t="s">
        <v>98</v>
      </c>
      <c r="E2011" t="s">
        <v>4402</v>
      </c>
      <c r="F2011" t="s">
        <v>4403</v>
      </c>
      <c r="G2011" t="str">
        <f>"00686375"</f>
        <v>00686375</v>
      </c>
      <c r="H2011">
        <v>43.2</v>
      </c>
      <c r="I2011">
        <v>0</v>
      </c>
      <c r="M2011">
        <v>0</v>
      </c>
      <c r="N2011">
        <v>4</v>
      </c>
      <c r="O2011">
        <v>2</v>
      </c>
      <c r="P2011">
        <v>49.2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6</v>
      </c>
      <c r="AA2011">
        <v>0</v>
      </c>
      <c r="AC2011">
        <v>55.2</v>
      </c>
    </row>
    <row r="2012" spans="1:29">
      <c r="A2012">
        <v>2005</v>
      </c>
      <c r="B2012">
        <v>2858</v>
      </c>
      <c r="C2012" t="s">
        <v>4406</v>
      </c>
      <c r="D2012" t="s">
        <v>130</v>
      </c>
      <c r="E2012" t="s">
        <v>15</v>
      </c>
      <c r="F2012" t="s">
        <v>4407</v>
      </c>
      <c r="G2012" t="str">
        <f>"201402001901"</f>
        <v>201402001901</v>
      </c>
      <c r="H2012">
        <v>39.200000000000003</v>
      </c>
      <c r="I2012">
        <v>0</v>
      </c>
      <c r="L2012">
        <v>4</v>
      </c>
      <c r="M2012">
        <v>4</v>
      </c>
      <c r="N2012">
        <v>4</v>
      </c>
      <c r="O2012">
        <v>2</v>
      </c>
      <c r="P2012">
        <v>49.2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6</v>
      </c>
      <c r="AA2012">
        <v>0</v>
      </c>
      <c r="AC2012">
        <v>55.2</v>
      </c>
    </row>
    <row r="2013" spans="1:29">
      <c r="A2013">
        <v>2006</v>
      </c>
      <c r="B2013">
        <v>1650</v>
      </c>
      <c r="C2013" t="s">
        <v>4211</v>
      </c>
      <c r="D2013" t="s">
        <v>27</v>
      </c>
      <c r="E2013" t="s">
        <v>28</v>
      </c>
      <c r="F2013" t="s">
        <v>4408</v>
      </c>
      <c r="G2013" t="str">
        <f>"00509754"</f>
        <v>00509754</v>
      </c>
      <c r="H2013">
        <v>18.2</v>
      </c>
      <c r="I2013">
        <v>0</v>
      </c>
      <c r="M2013">
        <v>0</v>
      </c>
      <c r="N2013">
        <v>0</v>
      </c>
      <c r="O2013">
        <v>0</v>
      </c>
      <c r="P2013">
        <v>18.2</v>
      </c>
      <c r="Q2013">
        <v>31</v>
      </c>
      <c r="R2013">
        <v>31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31</v>
      </c>
      <c r="Z2013">
        <v>6</v>
      </c>
      <c r="AA2013">
        <v>0</v>
      </c>
      <c r="AC2013">
        <v>55.2</v>
      </c>
    </row>
    <row r="2014" spans="1:29">
      <c r="A2014">
        <v>2007</v>
      </c>
      <c r="B2014">
        <v>1165</v>
      </c>
      <c r="C2014" t="s">
        <v>1908</v>
      </c>
      <c r="D2014" t="s">
        <v>179</v>
      </c>
      <c r="E2014" t="s">
        <v>28</v>
      </c>
      <c r="F2014" t="s">
        <v>4416</v>
      </c>
      <c r="G2014" t="str">
        <f>"201511031150"</f>
        <v>201511031150</v>
      </c>
      <c r="H2014">
        <v>43.2</v>
      </c>
      <c r="I2014">
        <v>0</v>
      </c>
      <c r="J2014">
        <v>8</v>
      </c>
      <c r="M2014">
        <v>8</v>
      </c>
      <c r="N2014">
        <v>4</v>
      </c>
      <c r="O2014">
        <v>0</v>
      </c>
      <c r="P2014">
        <v>55.2</v>
      </c>
      <c r="Q2014">
        <v>0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>
        <v>0</v>
      </c>
      <c r="AA2014">
        <v>0</v>
      </c>
      <c r="AC2014">
        <v>55.2</v>
      </c>
    </row>
    <row r="2015" spans="1:29">
      <c r="A2015">
        <v>2008</v>
      </c>
      <c r="B2015">
        <v>4639</v>
      </c>
      <c r="C2015" t="s">
        <v>4409</v>
      </c>
      <c r="D2015" t="s">
        <v>130</v>
      </c>
      <c r="E2015" t="s">
        <v>32</v>
      </c>
      <c r="F2015" t="s">
        <v>4410</v>
      </c>
      <c r="G2015" t="str">
        <f>"00529340"</f>
        <v>00529340</v>
      </c>
      <c r="H2015">
        <v>43.2</v>
      </c>
      <c r="I2015">
        <v>0</v>
      </c>
      <c r="K2015">
        <v>6</v>
      </c>
      <c r="M2015">
        <v>6</v>
      </c>
      <c r="N2015">
        <v>4</v>
      </c>
      <c r="O2015">
        <v>2</v>
      </c>
      <c r="P2015">
        <v>55.2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C2015">
        <v>55.2</v>
      </c>
    </row>
    <row r="2016" spans="1:29">
      <c r="A2016">
        <v>2009</v>
      </c>
      <c r="B2016">
        <v>3479</v>
      </c>
      <c r="C2016" t="s">
        <v>4414</v>
      </c>
      <c r="D2016" t="s">
        <v>52</v>
      </c>
      <c r="E2016" t="s">
        <v>647</v>
      </c>
      <c r="F2016" t="s">
        <v>4415</v>
      </c>
      <c r="G2016" t="str">
        <f>"00859483"</f>
        <v>00859483</v>
      </c>
      <c r="H2016">
        <v>43.2</v>
      </c>
      <c r="I2016">
        <v>0</v>
      </c>
      <c r="J2016">
        <v>8</v>
      </c>
      <c r="M2016">
        <v>8</v>
      </c>
      <c r="N2016">
        <v>4</v>
      </c>
      <c r="O2016">
        <v>0</v>
      </c>
      <c r="P2016">
        <v>55.2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C2016">
        <v>55.2</v>
      </c>
    </row>
    <row r="2017" spans="1:29">
      <c r="A2017">
        <v>2010</v>
      </c>
      <c r="B2017">
        <v>984</v>
      </c>
      <c r="C2017" t="s">
        <v>4411</v>
      </c>
      <c r="D2017" t="s">
        <v>4412</v>
      </c>
      <c r="E2017" t="s">
        <v>18</v>
      </c>
      <c r="F2017" t="s">
        <v>4413</v>
      </c>
      <c r="G2017" t="str">
        <f>"00316148"</f>
        <v>00316148</v>
      </c>
      <c r="H2017">
        <v>43.2</v>
      </c>
      <c r="I2017">
        <v>0</v>
      </c>
      <c r="K2017">
        <v>6</v>
      </c>
      <c r="M2017">
        <v>6</v>
      </c>
      <c r="N2017">
        <v>4</v>
      </c>
      <c r="O2017">
        <v>2</v>
      </c>
      <c r="P2017">
        <v>55.2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0</v>
      </c>
      <c r="AC2017">
        <v>55.2</v>
      </c>
    </row>
    <row r="2018" spans="1:29">
      <c r="A2018">
        <v>2011</v>
      </c>
      <c r="B2018">
        <v>2262</v>
      </c>
      <c r="C2018" t="s">
        <v>1614</v>
      </c>
      <c r="D2018" t="s">
        <v>3981</v>
      </c>
      <c r="E2018" t="s">
        <v>115</v>
      </c>
      <c r="F2018" t="s">
        <v>4417</v>
      </c>
      <c r="G2018" t="str">
        <f>"00804812"</f>
        <v>00804812</v>
      </c>
      <c r="H2018">
        <v>39.200000000000003</v>
      </c>
      <c r="I2018">
        <v>10</v>
      </c>
      <c r="M2018">
        <v>0</v>
      </c>
      <c r="N2018">
        <v>4</v>
      </c>
      <c r="O2018">
        <v>2</v>
      </c>
      <c r="P2018">
        <v>55.2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C2018">
        <v>55.2</v>
      </c>
    </row>
    <row r="2019" spans="1:29">
      <c r="A2019">
        <v>2012</v>
      </c>
      <c r="B2019">
        <v>1862</v>
      </c>
      <c r="C2019" t="s">
        <v>1823</v>
      </c>
      <c r="D2019" t="s">
        <v>784</v>
      </c>
      <c r="E2019" t="s">
        <v>2448</v>
      </c>
      <c r="F2019" t="s">
        <v>4418</v>
      </c>
      <c r="G2019" t="str">
        <f>"00077045"</f>
        <v>00077045</v>
      </c>
      <c r="H2019">
        <v>29.08</v>
      </c>
      <c r="I2019">
        <v>10</v>
      </c>
      <c r="L2019">
        <v>4</v>
      </c>
      <c r="M2019">
        <v>4</v>
      </c>
      <c r="N2019">
        <v>4</v>
      </c>
      <c r="O2019">
        <v>2</v>
      </c>
      <c r="P2019">
        <v>49.08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6</v>
      </c>
      <c r="AA2019">
        <v>0</v>
      </c>
      <c r="AC2019">
        <v>55.08</v>
      </c>
    </row>
    <row r="2020" spans="1:29">
      <c r="A2020">
        <v>2013</v>
      </c>
      <c r="B2020">
        <v>2504</v>
      </c>
      <c r="C2020" t="s">
        <v>3265</v>
      </c>
      <c r="D2020" t="s">
        <v>179</v>
      </c>
      <c r="E2020" t="s">
        <v>36</v>
      </c>
      <c r="F2020" t="s">
        <v>4421</v>
      </c>
      <c r="G2020" t="str">
        <f>"00525909"</f>
        <v>00525909</v>
      </c>
      <c r="H2020">
        <v>40</v>
      </c>
      <c r="I2020">
        <v>0</v>
      </c>
      <c r="K2020">
        <v>6</v>
      </c>
      <c r="M2020">
        <v>6</v>
      </c>
      <c r="N2020">
        <v>4</v>
      </c>
      <c r="O2020">
        <v>2</v>
      </c>
      <c r="P2020">
        <v>52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3</v>
      </c>
      <c r="AA2020">
        <v>0</v>
      </c>
      <c r="AC2020">
        <v>55</v>
      </c>
    </row>
    <row r="2021" spans="1:29">
      <c r="A2021">
        <v>2014</v>
      </c>
      <c r="B2021">
        <v>1051</v>
      </c>
      <c r="C2021" t="s">
        <v>4419</v>
      </c>
      <c r="D2021" t="s">
        <v>27</v>
      </c>
      <c r="E2021" t="s">
        <v>647</v>
      </c>
      <c r="F2021" t="s">
        <v>4420</v>
      </c>
      <c r="G2021" t="str">
        <f>"00857787"</f>
        <v>00857787</v>
      </c>
      <c r="H2021">
        <v>40</v>
      </c>
      <c r="I2021">
        <v>0</v>
      </c>
      <c r="K2021">
        <v>6</v>
      </c>
      <c r="M2021">
        <v>6</v>
      </c>
      <c r="N2021">
        <v>4</v>
      </c>
      <c r="O2021">
        <v>2</v>
      </c>
      <c r="P2021">
        <v>52</v>
      </c>
      <c r="Q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3</v>
      </c>
      <c r="AA2021">
        <v>0</v>
      </c>
      <c r="AC2021">
        <v>55</v>
      </c>
    </row>
    <row r="2022" spans="1:29">
      <c r="A2022">
        <v>2015</v>
      </c>
      <c r="B2022">
        <v>495</v>
      </c>
      <c r="C2022" t="s">
        <v>4422</v>
      </c>
      <c r="D2022" t="s">
        <v>164</v>
      </c>
      <c r="E2022" t="s">
        <v>53</v>
      </c>
      <c r="F2022" t="s">
        <v>4423</v>
      </c>
      <c r="G2022" t="str">
        <f>"00526739"</f>
        <v>00526739</v>
      </c>
      <c r="H2022">
        <v>12</v>
      </c>
      <c r="I2022">
        <v>10</v>
      </c>
      <c r="M2022">
        <v>0</v>
      </c>
      <c r="N2022">
        <v>0</v>
      </c>
      <c r="O2022">
        <v>0</v>
      </c>
      <c r="P2022">
        <v>22</v>
      </c>
      <c r="Q2022">
        <v>30</v>
      </c>
      <c r="R2022">
        <v>30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30</v>
      </c>
      <c r="Z2022">
        <v>3</v>
      </c>
      <c r="AA2022">
        <v>0</v>
      </c>
      <c r="AC2022">
        <v>55</v>
      </c>
    </row>
    <row r="2023" spans="1:29">
      <c r="A2023">
        <v>2016</v>
      </c>
      <c r="B2023">
        <v>1382</v>
      </c>
      <c r="C2023" t="s">
        <v>4424</v>
      </c>
      <c r="D2023" t="s">
        <v>4425</v>
      </c>
      <c r="E2023" t="s">
        <v>15</v>
      </c>
      <c r="F2023" t="s">
        <v>4426</v>
      </c>
      <c r="G2023" t="str">
        <f>"00533647"</f>
        <v>00533647</v>
      </c>
      <c r="H2023">
        <v>36</v>
      </c>
      <c r="I2023">
        <v>0</v>
      </c>
      <c r="L2023">
        <v>4</v>
      </c>
      <c r="M2023">
        <v>4</v>
      </c>
      <c r="N2023">
        <v>4</v>
      </c>
      <c r="O2023">
        <v>2</v>
      </c>
      <c r="P2023">
        <v>46</v>
      </c>
      <c r="Q2023">
        <v>9</v>
      </c>
      <c r="R2023">
        <v>9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9</v>
      </c>
      <c r="Z2023">
        <v>0</v>
      </c>
      <c r="AA2023">
        <v>0</v>
      </c>
      <c r="AC2023">
        <v>55</v>
      </c>
    </row>
    <row r="2024" spans="1:29">
      <c r="A2024">
        <v>2017</v>
      </c>
      <c r="B2024">
        <v>372</v>
      </c>
      <c r="C2024" t="s">
        <v>3209</v>
      </c>
      <c r="D2024" t="s">
        <v>86</v>
      </c>
      <c r="E2024" t="s">
        <v>889</v>
      </c>
      <c r="F2024" t="s">
        <v>4427</v>
      </c>
      <c r="G2024" t="str">
        <f>"00580854"</f>
        <v>00580854</v>
      </c>
      <c r="H2024">
        <v>38.92</v>
      </c>
      <c r="I2024">
        <v>0</v>
      </c>
      <c r="L2024">
        <v>4</v>
      </c>
      <c r="M2024">
        <v>4</v>
      </c>
      <c r="N2024">
        <v>4</v>
      </c>
      <c r="O2024">
        <v>2</v>
      </c>
      <c r="P2024">
        <v>48.92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6</v>
      </c>
      <c r="AA2024">
        <v>0</v>
      </c>
      <c r="AC2024">
        <v>54.92</v>
      </c>
    </row>
    <row r="2025" spans="1:29">
      <c r="A2025">
        <v>2018</v>
      </c>
      <c r="B2025">
        <v>195</v>
      </c>
      <c r="C2025" t="s">
        <v>4428</v>
      </c>
      <c r="D2025" t="s">
        <v>27</v>
      </c>
      <c r="E2025" t="s">
        <v>4429</v>
      </c>
      <c r="F2025">
        <v>335596</v>
      </c>
      <c r="G2025" t="str">
        <f>"00471888"</f>
        <v>00471888</v>
      </c>
      <c r="H2025">
        <v>28.8</v>
      </c>
      <c r="I2025">
        <v>10</v>
      </c>
      <c r="M2025">
        <v>0</v>
      </c>
      <c r="N2025">
        <v>4</v>
      </c>
      <c r="O2025">
        <v>0</v>
      </c>
      <c r="P2025">
        <v>42.8</v>
      </c>
      <c r="Q2025">
        <v>6</v>
      </c>
      <c r="R2025">
        <v>6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6</v>
      </c>
      <c r="Z2025">
        <v>6</v>
      </c>
      <c r="AA2025">
        <v>0</v>
      </c>
      <c r="AC2025">
        <v>54.8</v>
      </c>
    </row>
    <row r="2026" spans="1:29">
      <c r="A2026">
        <v>2019</v>
      </c>
      <c r="B2026">
        <v>2788</v>
      </c>
      <c r="C2026" t="s">
        <v>1897</v>
      </c>
      <c r="D2026" t="s">
        <v>95</v>
      </c>
      <c r="E2026" t="s">
        <v>165</v>
      </c>
      <c r="F2026" t="s">
        <v>4434</v>
      </c>
      <c r="G2026" t="str">
        <f>"00502323"</f>
        <v>00502323</v>
      </c>
      <c r="H2026">
        <v>38.799999999999997</v>
      </c>
      <c r="I2026">
        <v>0</v>
      </c>
      <c r="K2026">
        <v>6</v>
      </c>
      <c r="L2026">
        <v>4</v>
      </c>
      <c r="M2026">
        <v>10</v>
      </c>
      <c r="N2026">
        <v>4</v>
      </c>
      <c r="O2026">
        <v>2</v>
      </c>
      <c r="P2026">
        <v>54.8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C2026">
        <v>54.8</v>
      </c>
    </row>
    <row r="2027" spans="1:29">
      <c r="A2027">
        <v>2020</v>
      </c>
      <c r="B2027">
        <v>2140</v>
      </c>
      <c r="C2027" t="s">
        <v>4432</v>
      </c>
      <c r="D2027" t="s">
        <v>130</v>
      </c>
      <c r="E2027" t="s">
        <v>79</v>
      </c>
      <c r="F2027" t="s">
        <v>4433</v>
      </c>
      <c r="G2027" t="str">
        <f>"00613826"</f>
        <v>00613826</v>
      </c>
      <c r="H2027">
        <v>38.799999999999997</v>
      </c>
      <c r="I2027">
        <v>10</v>
      </c>
      <c r="M2027">
        <v>0</v>
      </c>
      <c r="N2027">
        <v>4</v>
      </c>
      <c r="O2027">
        <v>2</v>
      </c>
      <c r="P2027">
        <v>54.8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C2027">
        <v>54.8</v>
      </c>
    </row>
    <row r="2028" spans="1:29">
      <c r="A2028">
        <v>2021</v>
      </c>
      <c r="B2028">
        <v>450</v>
      </c>
      <c r="C2028" t="s">
        <v>4430</v>
      </c>
      <c r="D2028" t="s">
        <v>279</v>
      </c>
      <c r="E2028" t="s">
        <v>187</v>
      </c>
      <c r="F2028" t="s">
        <v>4431</v>
      </c>
      <c r="G2028" t="str">
        <f>"00616510"</f>
        <v>00616510</v>
      </c>
      <c r="H2028">
        <v>38.799999999999997</v>
      </c>
      <c r="I2028">
        <v>10</v>
      </c>
      <c r="M2028">
        <v>0</v>
      </c>
      <c r="N2028">
        <v>4</v>
      </c>
      <c r="O2028">
        <v>2</v>
      </c>
      <c r="P2028">
        <v>54.8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C2028">
        <v>54.8</v>
      </c>
    </row>
    <row r="2029" spans="1:29">
      <c r="A2029">
        <v>2022</v>
      </c>
      <c r="B2029">
        <v>2357</v>
      </c>
      <c r="C2029" t="s">
        <v>4435</v>
      </c>
      <c r="D2029" t="s">
        <v>113</v>
      </c>
      <c r="E2029" t="s">
        <v>115</v>
      </c>
      <c r="F2029" t="s">
        <v>4436</v>
      </c>
      <c r="G2029" t="str">
        <f>"00510438"</f>
        <v>00510438</v>
      </c>
      <c r="H2029">
        <v>28.8</v>
      </c>
      <c r="I2029">
        <v>0</v>
      </c>
      <c r="L2029">
        <v>4</v>
      </c>
      <c r="M2029">
        <v>4</v>
      </c>
      <c r="N2029">
        <v>4</v>
      </c>
      <c r="O2029">
        <v>2</v>
      </c>
      <c r="P2029">
        <v>38.799999999999997</v>
      </c>
      <c r="Q2029">
        <v>16</v>
      </c>
      <c r="R2029">
        <v>16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16</v>
      </c>
      <c r="Z2029">
        <v>0</v>
      </c>
      <c r="AA2029">
        <v>0</v>
      </c>
      <c r="AC2029">
        <v>54.8</v>
      </c>
    </row>
    <row r="2030" spans="1:29">
      <c r="A2030">
        <v>2023</v>
      </c>
      <c r="B2030">
        <v>4696</v>
      </c>
      <c r="C2030" t="s">
        <v>4437</v>
      </c>
      <c r="D2030" t="s">
        <v>465</v>
      </c>
      <c r="E2030" t="s">
        <v>122</v>
      </c>
      <c r="F2030" t="s">
        <v>4438</v>
      </c>
      <c r="G2030" t="str">
        <f>"00865667"</f>
        <v>00865667</v>
      </c>
      <c r="H2030">
        <v>37.76</v>
      </c>
      <c r="I2030">
        <v>10</v>
      </c>
      <c r="M2030">
        <v>0</v>
      </c>
      <c r="N2030">
        <v>4</v>
      </c>
      <c r="O2030">
        <v>0</v>
      </c>
      <c r="P2030">
        <v>51.76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3</v>
      </c>
      <c r="AA2030">
        <v>0</v>
      </c>
      <c r="AC2030">
        <v>54.76</v>
      </c>
    </row>
    <row r="2031" spans="1:29">
      <c r="A2031">
        <v>2024</v>
      </c>
      <c r="B2031">
        <v>4232</v>
      </c>
      <c r="C2031" t="s">
        <v>4439</v>
      </c>
      <c r="D2031" t="s">
        <v>465</v>
      </c>
      <c r="E2031" t="s">
        <v>36</v>
      </c>
      <c r="F2031" t="s">
        <v>4440</v>
      </c>
      <c r="G2031" t="str">
        <f>"00531791"</f>
        <v>00531791</v>
      </c>
      <c r="H2031">
        <v>19.68</v>
      </c>
      <c r="I2031">
        <v>10</v>
      </c>
      <c r="M2031">
        <v>0</v>
      </c>
      <c r="N2031">
        <v>4</v>
      </c>
      <c r="O2031">
        <v>2</v>
      </c>
      <c r="P2031">
        <v>35.68</v>
      </c>
      <c r="Q2031">
        <v>13</v>
      </c>
      <c r="R2031">
        <v>13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13</v>
      </c>
      <c r="Z2031">
        <v>6</v>
      </c>
      <c r="AA2031">
        <v>0</v>
      </c>
      <c r="AC2031">
        <v>54.68</v>
      </c>
    </row>
    <row r="2032" spans="1:29">
      <c r="A2032">
        <v>2025</v>
      </c>
      <c r="B2032">
        <v>524</v>
      </c>
      <c r="C2032" t="s">
        <v>4441</v>
      </c>
      <c r="D2032" t="s">
        <v>2378</v>
      </c>
      <c r="E2032" t="s">
        <v>134</v>
      </c>
      <c r="F2032" t="s">
        <v>4442</v>
      </c>
      <c r="G2032" t="str">
        <f>"00172837"</f>
        <v>00172837</v>
      </c>
      <c r="H2032">
        <v>22.68</v>
      </c>
      <c r="I2032">
        <v>10</v>
      </c>
      <c r="M2032">
        <v>0</v>
      </c>
      <c r="N2032">
        <v>4</v>
      </c>
      <c r="O2032">
        <v>0</v>
      </c>
      <c r="P2032">
        <v>36.68</v>
      </c>
      <c r="Q2032">
        <v>18</v>
      </c>
      <c r="R2032">
        <v>18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18</v>
      </c>
      <c r="Z2032">
        <v>0</v>
      </c>
      <c r="AA2032">
        <v>0</v>
      </c>
      <c r="AC2032">
        <v>54.68</v>
      </c>
    </row>
    <row r="2033" spans="1:29">
      <c r="A2033">
        <v>2026</v>
      </c>
      <c r="B2033">
        <v>4409</v>
      </c>
      <c r="C2033" t="s">
        <v>112</v>
      </c>
      <c r="D2033" t="s">
        <v>52</v>
      </c>
      <c r="E2033" t="s">
        <v>134</v>
      </c>
      <c r="F2033" t="s">
        <v>4443</v>
      </c>
      <c r="G2033" t="str">
        <f>"00237830"</f>
        <v>00237830</v>
      </c>
      <c r="H2033">
        <v>36.6</v>
      </c>
      <c r="I2033">
        <v>0</v>
      </c>
      <c r="J2033">
        <v>8</v>
      </c>
      <c r="M2033">
        <v>8</v>
      </c>
      <c r="N2033">
        <v>4</v>
      </c>
      <c r="O2033">
        <v>0</v>
      </c>
      <c r="P2033">
        <v>48.6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6</v>
      </c>
      <c r="AA2033">
        <v>0</v>
      </c>
      <c r="AC2033">
        <v>54.6</v>
      </c>
    </row>
    <row r="2034" spans="1:29">
      <c r="A2034">
        <v>2027</v>
      </c>
      <c r="B2034">
        <v>2150</v>
      </c>
      <c r="C2034" t="s">
        <v>4444</v>
      </c>
      <c r="D2034" t="s">
        <v>4445</v>
      </c>
      <c r="E2034" t="s">
        <v>904</v>
      </c>
      <c r="F2034" t="s">
        <v>4446</v>
      </c>
      <c r="G2034" t="str">
        <f>"201511025540"</f>
        <v>201511025540</v>
      </c>
      <c r="H2034">
        <v>21.6</v>
      </c>
      <c r="I2034">
        <v>10</v>
      </c>
      <c r="L2034">
        <v>4</v>
      </c>
      <c r="M2034">
        <v>4</v>
      </c>
      <c r="N2034">
        <v>4</v>
      </c>
      <c r="O2034">
        <v>2</v>
      </c>
      <c r="P2034">
        <v>41.6</v>
      </c>
      <c r="Q2034">
        <v>7</v>
      </c>
      <c r="R2034">
        <v>7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7</v>
      </c>
      <c r="Z2034">
        <v>6</v>
      </c>
      <c r="AA2034">
        <v>0</v>
      </c>
      <c r="AC2034">
        <v>54.6</v>
      </c>
    </row>
    <row r="2035" spans="1:29">
      <c r="A2035">
        <v>2028</v>
      </c>
      <c r="B2035">
        <v>3684</v>
      </c>
      <c r="C2035" t="s">
        <v>4000</v>
      </c>
      <c r="D2035" t="s">
        <v>336</v>
      </c>
      <c r="E2035" t="s">
        <v>89</v>
      </c>
      <c r="F2035" t="s">
        <v>4447</v>
      </c>
      <c r="G2035" t="str">
        <f>"00816636"</f>
        <v>00816636</v>
      </c>
      <c r="H2035">
        <v>37.6</v>
      </c>
      <c r="I2035">
        <v>0</v>
      </c>
      <c r="J2035">
        <v>8</v>
      </c>
      <c r="M2035">
        <v>8</v>
      </c>
      <c r="N2035">
        <v>4</v>
      </c>
      <c r="O2035">
        <v>2</v>
      </c>
      <c r="P2035">
        <v>51.6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3</v>
      </c>
      <c r="AA2035">
        <v>0</v>
      </c>
      <c r="AC2035">
        <v>54.6</v>
      </c>
    </row>
    <row r="2036" spans="1:29">
      <c r="A2036">
        <v>2029</v>
      </c>
      <c r="B2036">
        <v>2286</v>
      </c>
      <c r="C2036" t="s">
        <v>1377</v>
      </c>
      <c r="D2036" t="s">
        <v>295</v>
      </c>
      <c r="E2036" t="s">
        <v>15</v>
      </c>
      <c r="F2036" t="s">
        <v>4448</v>
      </c>
      <c r="G2036" t="str">
        <f>"201402001153"</f>
        <v>201402001153</v>
      </c>
      <c r="H2036">
        <v>39.6</v>
      </c>
      <c r="I2036">
        <v>0</v>
      </c>
      <c r="M2036">
        <v>0</v>
      </c>
      <c r="N2036">
        <v>4</v>
      </c>
      <c r="O2036">
        <v>0</v>
      </c>
      <c r="P2036">
        <v>43.6</v>
      </c>
      <c r="Q2036">
        <v>8</v>
      </c>
      <c r="R2036">
        <v>8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8</v>
      </c>
      <c r="Z2036">
        <v>3</v>
      </c>
      <c r="AA2036">
        <v>0</v>
      </c>
      <c r="AC2036">
        <v>54.6</v>
      </c>
    </row>
    <row r="2037" spans="1:29">
      <c r="A2037">
        <v>2030</v>
      </c>
      <c r="B2037">
        <v>3536</v>
      </c>
      <c r="C2037" t="s">
        <v>4449</v>
      </c>
      <c r="D2037" t="s">
        <v>481</v>
      </c>
      <c r="E2037" t="s">
        <v>322</v>
      </c>
      <c r="F2037" t="s">
        <v>4450</v>
      </c>
      <c r="G2037" t="str">
        <f>"201201000074"</f>
        <v>201201000074</v>
      </c>
      <c r="H2037">
        <v>21.6</v>
      </c>
      <c r="I2037">
        <v>0</v>
      </c>
      <c r="K2037">
        <v>6</v>
      </c>
      <c r="M2037">
        <v>6</v>
      </c>
      <c r="N2037">
        <v>4</v>
      </c>
      <c r="O2037">
        <v>2</v>
      </c>
      <c r="P2037">
        <v>33.6</v>
      </c>
      <c r="Q2037">
        <v>18</v>
      </c>
      <c r="R2037">
        <v>18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18</v>
      </c>
      <c r="Z2037">
        <v>3</v>
      </c>
      <c r="AA2037">
        <v>0</v>
      </c>
      <c r="AB2037" t="s">
        <v>128</v>
      </c>
      <c r="AC2037">
        <v>54.6</v>
      </c>
    </row>
    <row r="2038" spans="1:29">
      <c r="A2038">
        <v>2031</v>
      </c>
      <c r="B2038">
        <v>265</v>
      </c>
      <c r="C2038" t="s">
        <v>738</v>
      </c>
      <c r="D2038" t="s">
        <v>27</v>
      </c>
      <c r="E2038" t="s">
        <v>237</v>
      </c>
      <c r="F2038" t="s">
        <v>4451</v>
      </c>
      <c r="G2038" t="str">
        <f>"20160705472"</f>
        <v>20160705472</v>
      </c>
      <c r="H2038">
        <v>21.6</v>
      </c>
      <c r="I2038">
        <v>0</v>
      </c>
      <c r="M2038">
        <v>0</v>
      </c>
      <c r="N2038">
        <v>4</v>
      </c>
      <c r="O2038">
        <v>2</v>
      </c>
      <c r="P2038">
        <v>27.6</v>
      </c>
      <c r="Q2038">
        <v>24</v>
      </c>
      <c r="R2038">
        <v>24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24</v>
      </c>
      <c r="Z2038">
        <v>3</v>
      </c>
      <c r="AA2038">
        <v>0</v>
      </c>
      <c r="AC2038">
        <v>54.6</v>
      </c>
    </row>
    <row r="2039" spans="1:29">
      <c r="A2039">
        <v>2032</v>
      </c>
      <c r="B2039">
        <v>1267</v>
      </c>
      <c r="C2039" t="s">
        <v>4452</v>
      </c>
      <c r="D2039" t="s">
        <v>52</v>
      </c>
      <c r="E2039" t="s">
        <v>28</v>
      </c>
      <c r="F2039" t="s">
        <v>4453</v>
      </c>
      <c r="G2039" t="str">
        <f>"00161142"</f>
        <v>00161142</v>
      </c>
      <c r="H2039">
        <v>39.6</v>
      </c>
      <c r="I2039">
        <v>0</v>
      </c>
      <c r="M2039">
        <v>0</v>
      </c>
      <c r="N2039">
        <v>4</v>
      </c>
      <c r="O2039">
        <v>0</v>
      </c>
      <c r="P2039">
        <v>43.6</v>
      </c>
      <c r="Q2039">
        <v>11</v>
      </c>
      <c r="R2039">
        <v>11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11</v>
      </c>
      <c r="Z2039">
        <v>0</v>
      </c>
      <c r="AA2039">
        <v>0</v>
      </c>
      <c r="AC2039">
        <v>54.6</v>
      </c>
    </row>
    <row r="2040" spans="1:29">
      <c r="A2040">
        <v>2033</v>
      </c>
      <c r="B2040">
        <v>4246</v>
      </c>
      <c r="C2040" t="s">
        <v>4454</v>
      </c>
      <c r="D2040" t="s">
        <v>784</v>
      </c>
      <c r="E2040" t="s">
        <v>1398</v>
      </c>
      <c r="F2040" t="s">
        <v>4455</v>
      </c>
      <c r="G2040" t="str">
        <f>"00141348"</f>
        <v>00141348</v>
      </c>
      <c r="H2040">
        <v>21.6</v>
      </c>
      <c r="I2040">
        <v>10</v>
      </c>
      <c r="L2040">
        <v>4</v>
      </c>
      <c r="M2040">
        <v>4</v>
      </c>
      <c r="N2040">
        <v>4</v>
      </c>
      <c r="O2040">
        <v>2</v>
      </c>
      <c r="P2040">
        <v>41.6</v>
      </c>
      <c r="Q2040">
        <v>13</v>
      </c>
      <c r="R2040">
        <v>13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13</v>
      </c>
      <c r="Z2040">
        <v>0</v>
      </c>
      <c r="AA2040">
        <v>0</v>
      </c>
      <c r="AC2040">
        <v>54.6</v>
      </c>
    </row>
    <row r="2041" spans="1:29">
      <c r="A2041">
        <v>2034</v>
      </c>
      <c r="B2041">
        <v>2397</v>
      </c>
      <c r="C2041" t="s">
        <v>4456</v>
      </c>
      <c r="D2041" t="s">
        <v>784</v>
      </c>
      <c r="E2041" t="s">
        <v>79</v>
      </c>
      <c r="F2041" t="s">
        <v>4457</v>
      </c>
      <c r="G2041" t="str">
        <f>"00146830"</f>
        <v>00146830</v>
      </c>
      <c r="H2041">
        <v>21.6</v>
      </c>
      <c r="I2041">
        <v>10</v>
      </c>
      <c r="L2041">
        <v>4</v>
      </c>
      <c r="M2041">
        <v>4</v>
      </c>
      <c r="N2041">
        <v>4</v>
      </c>
      <c r="O2041">
        <v>0</v>
      </c>
      <c r="P2041">
        <v>39.6</v>
      </c>
      <c r="Q2041">
        <v>15</v>
      </c>
      <c r="R2041">
        <v>15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15</v>
      </c>
      <c r="Z2041">
        <v>0</v>
      </c>
      <c r="AA2041">
        <v>0</v>
      </c>
      <c r="AC2041">
        <v>54.6</v>
      </c>
    </row>
    <row r="2042" spans="1:29">
      <c r="A2042">
        <v>2035</v>
      </c>
      <c r="B2042">
        <v>1068</v>
      </c>
      <c r="C2042" t="s">
        <v>1449</v>
      </c>
      <c r="D2042" t="s">
        <v>2850</v>
      </c>
      <c r="E2042" t="s">
        <v>515</v>
      </c>
      <c r="F2042" t="s">
        <v>4458</v>
      </c>
      <c r="G2042" t="str">
        <f>"201511036385"</f>
        <v>201511036385</v>
      </c>
      <c r="H2042">
        <v>34.56</v>
      </c>
      <c r="I2042">
        <v>0</v>
      </c>
      <c r="J2042">
        <v>8</v>
      </c>
      <c r="M2042">
        <v>8</v>
      </c>
      <c r="N2042">
        <v>4</v>
      </c>
      <c r="O2042">
        <v>2</v>
      </c>
      <c r="P2042">
        <v>48.56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v>6</v>
      </c>
      <c r="AA2042">
        <v>0</v>
      </c>
      <c r="AC2042">
        <v>54.56</v>
      </c>
    </row>
    <row r="2043" spans="1:29">
      <c r="A2043">
        <v>2036</v>
      </c>
      <c r="B2043">
        <v>2728</v>
      </c>
      <c r="C2043" t="s">
        <v>4459</v>
      </c>
      <c r="D2043" t="s">
        <v>544</v>
      </c>
      <c r="E2043" t="s">
        <v>337</v>
      </c>
      <c r="F2043" t="s">
        <v>4460</v>
      </c>
      <c r="G2043" t="str">
        <f>"00577895"</f>
        <v>00577895</v>
      </c>
      <c r="H2043">
        <v>32.4</v>
      </c>
      <c r="I2043">
        <v>10</v>
      </c>
      <c r="M2043">
        <v>0</v>
      </c>
      <c r="N2043">
        <v>4</v>
      </c>
      <c r="O2043">
        <v>2</v>
      </c>
      <c r="P2043">
        <v>48.4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6</v>
      </c>
      <c r="AA2043">
        <v>0</v>
      </c>
      <c r="AC2043">
        <v>54.4</v>
      </c>
    </row>
    <row r="2044" spans="1:29">
      <c r="A2044">
        <v>2037</v>
      </c>
      <c r="B2044">
        <v>652</v>
      </c>
      <c r="C2044" t="s">
        <v>4481</v>
      </c>
      <c r="D2044" t="s">
        <v>130</v>
      </c>
      <c r="E2044" t="s">
        <v>564</v>
      </c>
      <c r="F2044" t="s">
        <v>4482</v>
      </c>
      <c r="G2044" t="str">
        <f>"00526473"</f>
        <v>00526473</v>
      </c>
      <c r="H2044">
        <v>50.4</v>
      </c>
      <c r="I2044">
        <v>0</v>
      </c>
      <c r="M2044">
        <v>0</v>
      </c>
      <c r="N2044">
        <v>4</v>
      </c>
      <c r="O2044">
        <v>0</v>
      </c>
      <c r="P2044">
        <v>54.4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>
        <v>0</v>
      </c>
      <c r="AA2044">
        <v>0</v>
      </c>
      <c r="AC2044">
        <v>54.4</v>
      </c>
    </row>
    <row r="2045" spans="1:29">
      <c r="A2045">
        <v>2038</v>
      </c>
      <c r="B2045">
        <v>3815</v>
      </c>
      <c r="C2045" t="s">
        <v>4477</v>
      </c>
      <c r="D2045" t="s">
        <v>811</v>
      </c>
      <c r="E2045" t="s">
        <v>18</v>
      </c>
      <c r="F2045" t="s">
        <v>4478</v>
      </c>
      <c r="G2045" t="str">
        <f>"00532839"</f>
        <v>00532839</v>
      </c>
      <c r="H2045">
        <v>50.4</v>
      </c>
      <c r="I2045">
        <v>0</v>
      </c>
      <c r="M2045">
        <v>0</v>
      </c>
      <c r="N2045">
        <v>4</v>
      </c>
      <c r="O2045">
        <v>0</v>
      </c>
      <c r="P2045">
        <v>54.4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0</v>
      </c>
      <c r="AC2045">
        <v>54.4</v>
      </c>
    </row>
    <row r="2046" spans="1:29">
      <c r="A2046">
        <v>2039</v>
      </c>
      <c r="B2046">
        <v>1167</v>
      </c>
      <c r="C2046" t="s">
        <v>4484</v>
      </c>
      <c r="D2046" t="s">
        <v>4485</v>
      </c>
      <c r="E2046" t="s">
        <v>18</v>
      </c>
      <c r="F2046" t="s">
        <v>4486</v>
      </c>
      <c r="G2046" t="str">
        <f>"00855664"</f>
        <v>00855664</v>
      </c>
      <c r="H2046">
        <v>50.4</v>
      </c>
      <c r="I2046">
        <v>0</v>
      </c>
      <c r="L2046">
        <v>4</v>
      </c>
      <c r="M2046">
        <v>4</v>
      </c>
      <c r="N2046">
        <v>0</v>
      </c>
      <c r="O2046">
        <v>0</v>
      </c>
      <c r="P2046">
        <v>54.4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C2046">
        <v>54.4</v>
      </c>
    </row>
    <row r="2047" spans="1:29">
      <c r="A2047">
        <v>2040</v>
      </c>
      <c r="B2047">
        <v>2606</v>
      </c>
      <c r="C2047" t="s">
        <v>4475</v>
      </c>
      <c r="D2047" t="s">
        <v>95</v>
      </c>
      <c r="E2047" t="s">
        <v>1263</v>
      </c>
      <c r="F2047" t="s">
        <v>4476</v>
      </c>
      <c r="G2047" t="str">
        <f>"00193272"</f>
        <v>00193272</v>
      </c>
      <c r="H2047">
        <v>50.4</v>
      </c>
      <c r="I2047">
        <v>0</v>
      </c>
      <c r="M2047">
        <v>0</v>
      </c>
      <c r="N2047">
        <v>4</v>
      </c>
      <c r="O2047">
        <v>0</v>
      </c>
      <c r="P2047">
        <v>54.4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C2047">
        <v>54.4</v>
      </c>
    </row>
    <row r="2048" spans="1:29">
      <c r="A2048">
        <v>2041</v>
      </c>
      <c r="B2048">
        <v>2479</v>
      </c>
      <c r="C2048" t="s">
        <v>2804</v>
      </c>
      <c r="D2048" t="s">
        <v>185</v>
      </c>
      <c r="E2048" t="s">
        <v>1020</v>
      </c>
      <c r="F2048" t="s">
        <v>4483</v>
      </c>
      <c r="G2048" t="str">
        <f>"00855040"</f>
        <v>00855040</v>
      </c>
      <c r="H2048">
        <v>50.4</v>
      </c>
      <c r="I2048">
        <v>0</v>
      </c>
      <c r="M2048">
        <v>0</v>
      </c>
      <c r="N2048">
        <v>4</v>
      </c>
      <c r="O2048">
        <v>0</v>
      </c>
      <c r="P2048">
        <v>54.4</v>
      </c>
      <c r="Q2048">
        <v>0</v>
      </c>
      <c r="R2048">
        <v>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0</v>
      </c>
      <c r="AC2048">
        <v>54.4</v>
      </c>
    </row>
    <row r="2049" spans="1:29">
      <c r="A2049">
        <v>2042</v>
      </c>
      <c r="B2049">
        <v>283</v>
      </c>
      <c r="C2049" t="s">
        <v>4479</v>
      </c>
      <c r="D2049" t="s">
        <v>27</v>
      </c>
      <c r="E2049" t="s">
        <v>647</v>
      </c>
      <c r="F2049" t="s">
        <v>4480</v>
      </c>
      <c r="G2049" t="str">
        <f>"00804155"</f>
        <v>00804155</v>
      </c>
      <c r="H2049">
        <v>50.4</v>
      </c>
      <c r="I2049">
        <v>0</v>
      </c>
      <c r="M2049">
        <v>0</v>
      </c>
      <c r="N2049">
        <v>4</v>
      </c>
      <c r="O2049">
        <v>0</v>
      </c>
      <c r="P2049">
        <v>54.4</v>
      </c>
      <c r="Q2049">
        <v>0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  <c r="AC2049">
        <v>54.4</v>
      </c>
    </row>
    <row r="2050" spans="1:29">
      <c r="A2050">
        <v>2043</v>
      </c>
      <c r="B2050">
        <v>928</v>
      </c>
      <c r="C2050" t="s">
        <v>4461</v>
      </c>
      <c r="D2050" t="s">
        <v>394</v>
      </c>
      <c r="E2050" t="s">
        <v>4462</v>
      </c>
      <c r="F2050" t="s">
        <v>4463</v>
      </c>
      <c r="G2050" t="str">
        <f>"00856514"</f>
        <v>00856514</v>
      </c>
      <c r="H2050">
        <v>50.4</v>
      </c>
      <c r="I2050">
        <v>0</v>
      </c>
      <c r="L2050">
        <v>4</v>
      </c>
      <c r="M2050">
        <v>4</v>
      </c>
      <c r="N2050">
        <v>0</v>
      </c>
      <c r="O2050">
        <v>0</v>
      </c>
      <c r="P2050">
        <v>54.4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  <c r="AC2050">
        <v>54.4</v>
      </c>
    </row>
    <row r="2051" spans="1:29">
      <c r="A2051">
        <v>2044</v>
      </c>
      <c r="B2051">
        <v>3513</v>
      </c>
      <c r="C2051" t="s">
        <v>4468</v>
      </c>
      <c r="D2051" t="s">
        <v>95</v>
      </c>
      <c r="E2051" t="s">
        <v>66</v>
      </c>
      <c r="F2051" t="s">
        <v>4469</v>
      </c>
      <c r="G2051" t="str">
        <f>"00865572"</f>
        <v>00865572</v>
      </c>
      <c r="H2051">
        <v>50.4</v>
      </c>
      <c r="I2051">
        <v>0</v>
      </c>
      <c r="L2051">
        <v>4</v>
      </c>
      <c r="M2051">
        <v>4</v>
      </c>
      <c r="N2051">
        <v>0</v>
      </c>
      <c r="O2051">
        <v>0</v>
      </c>
      <c r="P2051">
        <v>54.4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  <c r="AC2051">
        <v>54.4</v>
      </c>
    </row>
    <row r="2052" spans="1:29">
      <c r="A2052">
        <v>2045</v>
      </c>
      <c r="B2052">
        <v>3744</v>
      </c>
      <c r="C2052" t="s">
        <v>4464</v>
      </c>
      <c r="D2052" t="s">
        <v>52</v>
      </c>
      <c r="E2052" t="s">
        <v>28</v>
      </c>
      <c r="F2052" t="s">
        <v>4465</v>
      </c>
      <c r="G2052" t="str">
        <f>"00862562"</f>
        <v>00862562</v>
      </c>
      <c r="H2052">
        <v>50.4</v>
      </c>
      <c r="I2052">
        <v>0</v>
      </c>
      <c r="M2052">
        <v>0</v>
      </c>
      <c r="N2052">
        <v>4</v>
      </c>
      <c r="O2052">
        <v>0</v>
      </c>
      <c r="P2052">
        <v>54.4</v>
      </c>
      <c r="Q2052">
        <v>0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0</v>
      </c>
      <c r="AC2052">
        <v>54.4</v>
      </c>
    </row>
    <row r="2053" spans="1:29">
      <c r="A2053">
        <v>2046</v>
      </c>
      <c r="B2053">
        <v>4905</v>
      </c>
      <c r="C2053" t="s">
        <v>4466</v>
      </c>
      <c r="D2053" t="s">
        <v>185</v>
      </c>
      <c r="E2053" t="s">
        <v>904</v>
      </c>
      <c r="F2053" t="s">
        <v>4467</v>
      </c>
      <c r="G2053" t="str">
        <f>"00760374"</f>
        <v>00760374</v>
      </c>
      <c r="H2053">
        <v>50.4</v>
      </c>
      <c r="I2053">
        <v>0</v>
      </c>
      <c r="M2053">
        <v>0</v>
      </c>
      <c r="N2053">
        <v>4</v>
      </c>
      <c r="O2053">
        <v>0</v>
      </c>
      <c r="P2053">
        <v>54.4</v>
      </c>
      <c r="Q2053">
        <v>0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0</v>
      </c>
      <c r="AC2053">
        <v>54.4</v>
      </c>
    </row>
    <row r="2054" spans="1:29">
      <c r="A2054">
        <v>2047</v>
      </c>
      <c r="B2054">
        <v>4644</v>
      </c>
      <c r="C2054" t="s">
        <v>4470</v>
      </c>
      <c r="D2054" t="s">
        <v>4471</v>
      </c>
      <c r="E2054" t="s">
        <v>36</v>
      </c>
      <c r="F2054" t="s">
        <v>4472</v>
      </c>
      <c r="G2054" t="str">
        <f>"00224341"</f>
        <v>00224341</v>
      </c>
      <c r="H2054">
        <v>50.4</v>
      </c>
      <c r="I2054">
        <v>0</v>
      </c>
      <c r="M2054">
        <v>0</v>
      </c>
      <c r="N2054">
        <v>4</v>
      </c>
      <c r="O2054">
        <v>0</v>
      </c>
      <c r="P2054">
        <v>54.4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  <c r="AC2054">
        <v>54.4</v>
      </c>
    </row>
    <row r="2055" spans="1:29">
      <c r="A2055">
        <v>2048</v>
      </c>
      <c r="B2055">
        <v>4372</v>
      </c>
      <c r="C2055" t="s">
        <v>4473</v>
      </c>
      <c r="D2055" t="s">
        <v>164</v>
      </c>
      <c r="E2055" t="s">
        <v>122</v>
      </c>
      <c r="F2055" t="s">
        <v>4474</v>
      </c>
      <c r="G2055" t="str">
        <f>"00862527"</f>
        <v>00862527</v>
      </c>
      <c r="H2055">
        <v>50.4</v>
      </c>
      <c r="I2055">
        <v>0</v>
      </c>
      <c r="L2055">
        <v>4</v>
      </c>
      <c r="M2055">
        <v>4</v>
      </c>
      <c r="N2055">
        <v>0</v>
      </c>
      <c r="O2055">
        <v>0</v>
      </c>
      <c r="P2055">
        <v>54.4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C2055">
        <v>54.4</v>
      </c>
    </row>
    <row r="2056" spans="1:29">
      <c r="A2056">
        <v>2049</v>
      </c>
      <c r="B2056">
        <v>2648</v>
      </c>
      <c r="C2056" t="s">
        <v>4487</v>
      </c>
      <c r="D2056" t="s">
        <v>137</v>
      </c>
      <c r="E2056" t="s">
        <v>15</v>
      </c>
      <c r="F2056" t="s">
        <v>4488</v>
      </c>
      <c r="G2056" t="str">
        <f>"00530873"</f>
        <v>00530873</v>
      </c>
      <c r="H2056">
        <v>14.4</v>
      </c>
      <c r="I2056">
        <v>10</v>
      </c>
      <c r="J2056">
        <v>8</v>
      </c>
      <c r="M2056">
        <v>8</v>
      </c>
      <c r="N2056">
        <v>4</v>
      </c>
      <c r="O2056">
        <v>2</v>
      </c>
      <c r="P2056">
        <v>38.4</v>
      </c>
      <c r="Q2056">
        <v>16</v>
      </c>
      <c r="R2056">
        <v>16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16</v>
      </c>
      <c r="Z2056">
        <v>0</v>
      </c>
      <c r="AA2056">
        <v>0</v>
      </c>
      <c r="AC2056">
        <v>54.4</v>
      </c>
    </row>
    <row r="2057" spans="1:29">
      <c r="A2057">
        <v>2050</v>
      </c>
      <c r="B2057">
        <v>354</v>
      </c>
      <c r="C2057" t="s">
        <v>3895</v>
      </c>
      <c r="D2057" t="s">
        <v>2000</v>
      </c>
      <c r="E2057" t="s">
        <v>15</v>
      </c>
      <c r="F2057" t="s">
        <v>4489</v>
      </c>
      <c r="G2057" t="str">
        <f>"00526478"</f>
        <v>00526478</v>
      </c>
      <c r="H2057">
        <v>14.4</v>
      </c>
      <c r="I2057">
        <v>0</v>
      </c>
      <c r="M2057">
        <v>0</v>
      </c>
      <c r="N2057">
        <v>4</v>
      </c>
      <c r="O2057">
        <v>0</v>
      </c>
      <c r="P2057">
        <v>18.399999999999999</v>
      </c>
      <c r="Q2057">
        <v>36</v>
      </c>
      <c r="R2057">
        <v>36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36</v>
      </c>
      <c r="Z2057">
        <v>0</v>
      </c>
      <c r="AA2057">
        <v>0</v>
      </c>
      <c r="AC2057">
        <v>54.4</v>
      </c>
    </row>
    <row r="2058" spans="1:29">
      <c r="A2058">
        <v>2051</v>
      </c>
      <c r="B2058">
        <v>4027</v>
      </c>
      <c r="C2058" t="s">
        <v>4490</v>
      </c>
      <c r="D2058" t="s">
        <v>251</v>
      </c>
      <c r="E2058" t="s">
        <v>15</v>
      </c>
      <c r="F2058" t="s">
        <v>4491</v>
      </c>
      <c r="G2058" t="str">
        <f>"00506435"</f>
        <v>00506435</v>
      </c>
      <c r="H2058">
        <v>36.36</v>
      </c>
      <c r="I2058">
        <v>0</v>
      </c>
      <c r="M2058">
        <v>0</v>
      </c>
      <c r="N2058">
        <v>4</v>
      </c>
      <c r="O2058">
        <v>0</v>
      </c>
      <c r="P2058">
        <v>40.36</v>
      </c>
      <c r="Q2058">
        <v>8</v>
      </c>
      <c r="R2058">
        <v>8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8</v>
      </c>
      <c r="Z2058">
        <v>6</v>
      </c>
      <c r="AA2058">
        <v>0</v>
      </c>
      <c r="AC2058">
        <v>54.36</v>
      </c>
    </row>
    <row r="2059" spans="1:29">
      <c r="A2059">
        <v>2052</v>
      </c>
      <c r="B2059">
        <v>2998</v>
      </c>
      <c r="C2059" t="s">
        <v>4492</v>
      </c>
      <c r="D2059" t="s">
        <v>261</v>
      </c>
      <c r="E2059" t="s">
        <v>621</v>
      </c>
      <c r="F2059" t="s">
        <v>4493</v>
      </c>
      <c r="G2059" t="str">
        <f>"00522992"</f>
        <v>00522992</v>
      </c>
      <c r="H2059">
        <v>32.28</v>
      </c>
      <c r="I2059">
        <v>0</v>
      </c>
      <c r="M2059">
        <v>0</v>
      </c>
      <c r="N2059">
        <v>0</v>
      </c>
      <c r="O2059">
        <v>0</v>
      </c>
      <c r="P2059">
        <v>32.28</v>
      </c>
      <c r="Q2059">
        <v>16</v>
      </c>
      <c r="R2059">
        <v>16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16</v>
      </c>
      <c r="Z2059">
        <v>6</v>
      </c>
      <c r="AA2059">
        <v>0</v>
      </c>
      <c r="AC2059">
        <v>54.28</v>
      </c>
    </row>
    <row r="2060" spans="1:29">
      <c r="A2060">
        <v>2053</v>
      </c>
      <c r="B2060">
        <v>4756</v>
      </c>
      <c r="C2060" t="s">
        <v>4494</v>
      </c>
      <c r="D2060" t="s">
        <v>20</v>
      </c>
      <c r="E2060" t="s">
        <v>15</v>
      </c>
      <c r="F2060" t="s">
        <v>4495</v>
      </c>
      <c r="G2060" t="str">
        <f>"00864813"</f>
        <v>00864813</v>
      </c>
      <c r="H2060">
        <v>38.28</v>
      </c>
      <c r="I2060">
        <v>10</v>
      </c>
      <c r="M2060">
        <v>0</v>
      </c>
      <c r="N2060">
        <v>4</v>
      </c>
      <c r="O2060">
        <v>2</v>
      </c>
      <c r="P2060">
        <v>54.28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0</v>
      </c>
      <c r="AC2060">
        <v>54.28</v>
      </c>
    </row>
    <row r="2061" spans="1:29">
      <c r="A2061">
        <v>2054</v>
      </c>
      <c r="B2061">
        <v>4316</v>
      </c>
      <c r="C2061" t="s">
        <v>4496</v>
      </c>
      <c r="D2061" t="s">
        <v>2473</v>
      </c>
      <c r="E2061" t="s">
        <v>28</v>
      </c>
      <c r="F2061" t="s">
        <v>4497</v>
      </c>
      <c r="G2061" t="str">
        <f>"00228612"</f>
        <v>00228612</v>
      </c>
      <c r="H2061">
        <v>39.200000000000003</v>
      </c>
      <c r="I2061">
        <v>0</v>
      </c>
      <c r="M2061">
        <v>0</v>
      </c>
      <c r="N2061">
        <v>4</v>
      </c>
      <c r="O2061">
        <v>2</v>
      </c>
      <c r="P2061">
        <v>45.2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9</v>
      </c>
      <c r="AA2061">
        <v>0</v>
      </c>
      <c r="AC2061">
        <v>54.2</v>
      </c>
    </row>
    <row r="2062" spans="1:29">
      <c r="A2062">
        <v>2055</v>
      </c>
      <c r="B2062">
        <v>2191</v>
      </c>
      <c r="C2062" t="s">
        <v>4506</v>
      </c>
      <c r="D2062" t="s">
        <v>108</v>
      </c>
      <c r="E2062" t="s">
        <v>3656</v>
      </c>
      <c r="F2062" t="s">
        <v>4507</v>
      </c>
      <c r="G2062" t="str">
        <f>"00644398"</f>
        <v>00644398</v>
      </c>
      <c r="H2062">
        <v>43.2</v>
      </c>
      <c r="I2062">
        <v>0</v>
      </c>
      <c r="L2062">
        <v>4</v>
      </c>
      <c r="M2062">
        <v>4</v>
      </c>
      <c r="N2062">
        <v>4</v>
      </c>
      <c r="O2062">
        <v>0</v>
      </c>
      <c r="P2062">
        <v>51.2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3</v>
      </c>
      <c r="AA2062">
        <v>0</v>
      </c>
      <c r="AC2062">
        <v>54.2</v>
      </c>
    </row>
    <row r="2063" spans="1:29">
      <c r="A2063">
        <v>2056</v>
      </c>
      <c r="B2063">
        <v>463</v>
      </c>
      <c r="C2063" t="s">
        <v>4498</v>
      </c>
      <c r="D2063" t="s">
        <v>4499</v>
      </c>
      <c r="E2063" t="s">
        <v>115</v>
      </c>
      <c r="F2063" t="s">
        <v>4500</v>
      </c>
      <c r="G2063" t="str">
        <f>"201510000488"</f>
        <v>201510000488</v>
      </c>
      <c r="H2063">
        <v>43.2</v>
      </c>
      <c r="I2063">
        <v>0</v>
      </c>
      <c r="L2063">
        <v>4</v>
      </c>
      <c r="M2063">
        <v>4</v>
      </c>
      <c r="N2063">
        <v>4</v>
      </c>
      <c r="O2063">
        <v>0</v>
      </c>
      <c r="P2063">
        <v>51.2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3</v>
      </c>
      <c r="AA2063">
        <v>0</v>
      </c>
      <c r="AC2063">
        <v>54.2</v>
      </c>
    </row>
    <row r="2064" spans="1:29">
      <c r="A2064">
        <v>2057</v>
      </c>
      <c r="B2064">
        <v>285</v>
      </c>
      <c r="C2064" t="s">
        <v>4504</v>
      </c>
      <c r="D2064" t="s">
        <v>739</v>
      </c>
      <c r="E2064" t="s">
        <v>436</v>
      </c>
      <c r="F2064" t="s">
        <v>4505</v>
      </c>
      <c r="G2064" t="str">
        <f>"00701451"</f>
        <v>00701451</v>
      </c>
      <c r="H2064">
        <v>43.2</v>
      </c>
      <c r="I2064">
        <v>0</v>
      </c>
      <c r="L2064">
        <v>4</v>
      </c>
      <c r="M2064">
        <v>4</v>
      </c>
      <c r="N2064">
        <v>4</v>
      </c>
      <c r="O2064">
        <v>0</v>
      </c>
      <c r="P2064">
        <v>51.2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3</v>
      </c>
      <c r="AA2064">
        <v>0</v>
      </c>
      <c r="AC2064">
        <v>54.2</v>
      </c>
    </row>
    <row r="2065" spans="1:29">
      <c r="A2065">
        <v>2058</v>
      </c>
      <c r="B2065">
        <v>1157</v>
      </c>
      <c r="C2065" t="s">
        <v>4501</v>
      </c>
      <c r="D2065" t="s">
        <v>147</v>
      </c>
      <c r="E2065" t="s">
        <v>4502</v>
      </c>
      <c r="F2065" t="s">
        <v>4503</v>
      </c>
      <c r="G2065" t="str">
        <f>"00620781"</f>
        <v>00620781</v>
      </c>
      <c r="H2065">
        <v>43.2</v>
      </c>
      <c r="I2065">
        <v>0</v>
      </c>
      <c r="L2065">
        <v>4</v>
      </c>
      <c r="M2065">
        <v>4</v>
      </c>
      <c r="N2065">
        <v>4</v>
      </c>
      <c r="O2065">
        <v>0</v>
      </c>
      <c r="P2065">
        <v>51.2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3</v>
      </c>
      <c r="AA2065">
        <v>0</v>
      </c>
      <c r="AC2065">
        <v>54.2</v>
      </c>
    </row>
    <row r="2066" spans="1:29">
      <c r="A2066">
        <v>2059</v>
      </c>
      <c r="B2066">
        <v>3379</v>
      </c>
      <c r="C2066" t="s">
        <v>2969</v>
      </c>
      <c r="D2066" t="s">
        <v>35</v>
      </c>
      <c r="E2066" t="s">
        <v>115</v>
      </c>
      <c r="F2066" t="s">
        <v>4508</v>
      </c>
      <c r="G2066" t="str">
        <f>"00533558"</f>
        <v>00533558</v>
      </c>
      <c r="H2066">
        <v>25.2</v>
      </c>
      <c r="I2066">
        <v>0</v>
      </c>
      <c r="J2066">
        <v>8</v>
      </c>
      <c r="M2066">
        <v>8</v>
      </c>
      <c r="N2066">
        <v>4</v>
      </c>
      <c r="O2066">
        <v>0</v>
      </c>
      <c r="P2066">
        <v>37.200000000000003</v>
      </c>
      <c r="Q2066">
        <v>17</v>
      </c>
      <c r="R2066">
        <v>17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17</v>
      </c>
      <c r="Z2066">
        <v>0</v>
      </c>
      <c r="AA2066">
        <v>0</v>
      </c>
      <c r="AC2066">
        <v>54.2</v>
      </c>
    </row>
    <row r="2067" spans="1:29">
      <c r="A2067">
        <v>2060</v>
      </c>
      <c r="B2067">
        <v>3777</v>
      </c>
      <c r="C2067" t="s">
        <v>4509</v>
      </c>
      <c r="D2067" t="s">
        <v>4510</v>
      </c>
      <c r="E2067" t="s">
        <v>4511</v>
      </c>
      <c r="F2067" t="s">
        <v>4512</v>
      </c>
      <c r="G2067" t="str">
        <f>"00485060"</f>
        <v>00485060</v>
      </c>
      <c r="H2067">
        <v>23.2</v>
      </c>
      <c r="I2067">
        <v>0</v>
      </c>
      <c r="J2067">
        <v>8</v>
      </c>
      <c r="M2067">
        <v>8</v>
      </c>
      <c r="N2067">
        <v>4</v>
      </c>
      <c r="O2067">
        <v>2</v>
      </c>
      <c r="P2067">
        <v>37.200000000000003</v>
      </c>
      <c r="Q2067">
        <v>17</v>
      </c>
      <c r="R2067">
        <v>17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17</v>
      </c>
      <c r="Z2067">
        <v>0</v>
      </c>
      <c r="AA2067">
        <v>0</v>
      </c>
      <c r="AC2067">
        <v>54.2</v>
      </c>
    </row>
    <row r="2068" spans="1:29">
      <c r="A2068">
        <v>2061</v>
      </c>
      <c r="B2068">
        <v>4251</v>
      </c>
      <c r="C2068" t="s">
        <v>4513</v>
      </c>
      <c r="D2068" t="s">
        <v>86</v>
      </c>
      <c r="E2068" t="s">
        <v>115</v>
      </c>
      <c r="F2068" t="s">
        <v>4514</v>
      </c>
      <c r="G2068" t="str">
        <f>"00530590"</f>
        <v>00530590</v>
      </c>
      <c r="H2068">
        <v>13.08</v>
      </c>
      <c r="I2068">
        <v>0</v>
      </c>
      <c r="M2068">
        <v>0</v>
      </c>
      <c r="N2068">
        <v>4</v>
      </c>
      <c r="O2068">
        <v>0</v>
      </c>
      <c r="P2068">
        <v>17.079999999999998</v>
      </c>
      <c r="Q2068">
        <v>31</v>
      </c>
      <c r="R2068">
        <v>31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31</v>
      </c>
      <c r="Z2068">
        <v>6</v>
      </c>
      <c r="AA2068">
        <v>0</v>
      </c>
      <c r="AC2068">
        <v>54.08</v>
      </c>
    </row>
    <row r="2069" spans="1:29">
      <c r="A2069">
        <v>2062</v>
      </c>
      <c r="B2069">
        <v>3763</v>
      </c>
      <c r="C2069" t="s">
        <v>4515</v>
      </c>
      <c r="D2069" t="s">
        <v>210</v>
      </c>
      <c r="E2069" t="s">
        <v>237</v>
      </c>
      <c r="F2069" t="s">
        <v>4516</v>
      </c>
      <c r="G2069" t="str">
        <f>"00865158"</f>
        <v>00865158</v>
      </c>
      <c r="H2069">
        <v>40</v>
      </c>
      <c r="I2069">
        <v>0</v>
      </c>
      <c r="M2069">
        <v>0</v>
      </c>
      <c r="N2069">
        <v>0</v>
      </c>
      <c r="O2069">
        <v>2</v>
      </c>
      <c r="P2069">
        <v>42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12</v>
      </c>
      <c r="AA2069">
        <v>0</v>
      </c>
      <c r="AC2069">
        <v>54</v>
      </c>
    </row>
    <row r="2070" spans="1:29">
      <c r="A2070">
        <v>2063</v>
      </c>
      <c r="B2070">
        <v>4766</v>
      </c>
      <c r="C2070" t="s">
        <v>1614</v>
      </c>
      <c r="D2070" t="s">
        <v>4517</v>
      </c>
      <c r="E2070" t="s">
        <v>252</v>
      </c>
      <c r="F2070" t="s">
        <v>4518</v>
      </c>
      <c r="G2070" t="str">
        <f>"00866095"</f>
        <v>00866095</v>
      </c>
      <c r="H2070">
        <v>40</v>
      </c>
      <c r="I2070">
        <v>0</v>
      </c>
      <c r="L2070">
        <v>4</v>
      </c>
      <c r="M2070">
        <v>4</v>
      </c>
      <c r="N2070">
        <v>0</v>
      </c>
      <c r="O2070">
        <v>0</v>
      </c>
      <c r="P2070">
        <v>44</v>
      </c>
      <c r="Q2070">
        <v>1</v>
      </c>
      <c r="R2070">
        <v>1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1</v>
      </c>
      <c r="Z2070">
        <v>9</v>
      </c>
      <c r="AA2070">
        <v>0</v>
      </c>
      <c r="AC2070">
        <v>54</v>
      </c>
    </row>
    <row r="2071" spans="1:29">
      <c r="A2071">
        <v>2064</v>
      </c>
      <c r="B2071">
        <v>802</v>
      </c>
      <c r="C2071" t="s">
        <v>4519</v>
      </c>
      <c r="D2071" t="s">
        <v>159</v>
      </c>
      <c r="E2071" t="s">
        <v>18</v>
      </c>
      <c r="F2071" t="s">
        <v>4520</v>
      </c>
      <c r="G2071" t="str">
        <f>"00560714"</f>
        <v>00560714</v>
      </c>
      <c r="H2071">
        <v>40</v>
      </c>
      <c r="I2071">
        <v>0</v>
      </c>
      <c r="L2071">
        <v>4</v>
      </c>
      <c r="M2071">
        <v>4</v>
      </c>
      <c r="N2071">
        <v>4</v>
      </c>
      <c r="O2071">
        <v>0</v>
      </c>
      <c r="P2071">
        <v>48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v>6</v>
      </c>
      <c r="AA2071">
        <v>0</v>
      </c>
      <c r="AC2071">
        <v>54</v>
      </c>
    </row>
    <row r="2072" spans="1:29">
      <c r="A2072">
        <v>2065</v>
      </c>
      <c r="B2072">
        <v>3021</v>
      </c>
      <c r="C2072" t="s">
        <v>1171</v>
      </c>
      <c r="D2072" t="s">
        <v>930</v>
      </c>
      <c r="E2072" t="s">
        <v>115</v>
      </c>
      <c r="F2072" t="s">
        <v>4529</v>
      </c>
      <c r="G2072" t="str">
        <f>"00650663"</f>
        <v>00650663</v>
      </c>
      <c r="H2072">
        <v>40</v>
      </c>
      <c r="I2072">
        <v>0</v>
      </c>
      <c r="L2072">
        <v>4</v>
      </c>
      <c r="M2072">
        <v>4</v>
      </c>
      <c r="N2072">
        <v>4</v>
      </c>
      <c r="O2072">
        <v>0</v>
      </c>
      <c r="P2072">
        <v>48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6</v>
      </c>
      <c r="AA2072">
        <v>0</v>
      </c>
      <c r="AC2072">
        <v>54</v>
      </c>
    </row>
    <row r="2073" spans="1:29">
      <c r="A2073">
        <v>2066</v>
      </c>
      <c r="B2073">
        <v>4078</v>
      </c>
      <c r="C2073" t="s">
        <v>4521</v>
      </c>
      <c r="D2073" t="s">
        <v>159</v>
      </c>
      <c r="E2073" t="s">
        <v>36</v>
      </c>
      <c r="F2073" t="s">
        <v>4522</v>
      </c>
      <c r="G2073" t="str">
        <f>"00768231"</f>
        <v>00768231</v>
      </c>
      <c r="H2073">
        <v>40</v>
      </c>
      <c r="I2073">
        <v>0</v>
      </c>
      <c r="L2073">
        <v>4</v>
      </c>
      <c r="M2073">
        <v>4</v>
      </c>
      <c r="N2073">
        <v>4</v>
      </c>
      <c r="O2073">
        <v>0</v>
      </c>
      <c r="P2073">
        <v>48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v>6</v>
      </c>
      <c r="AA2073">
        <v>0</v>
      </c>
      <c r="AC2073">
        <v>54</v>
      </c>
    </row>
    <row r="2074" spans="1:29">
      <c r="A2074">
        <v>2067</v>
      </c>
      <c r="B2074">
        <v>1183</v>
      </c>
      <c r="C2074" t="s">
        <v>943</v>
      </c>
      <c r="D2074" t="s">
        <v>98</v>
      </c>
      <c r="E2074" t="s">
        <v>156</v>
      </c>
      <c r="F2074" t="s">
        <v>4523</v>
      </c>
      <c r="G2074" t="str">
        <f>"00484274"</f>
        <v>00484274</v>
      </c>
      <c r="H2074">
        <v>40</v>
      </c>
      <c r="I2074">
        <v>0</v>
      </c>
      <c r="L2074">
        <v>4</v>
      </c>
      <c r="M2074">
        <v>4</v>
      </c>
      <c r="N2074">
        <v>4</v>
      </c>
      <c r="O2074">
        <v>0</v>
      </c>
      <c r="P2074">
        <v>48</v>
      </c>
      <c r="Q2074">
        <v>0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0</v>
      </c>
      <c r="Z2074">
        <v>6</v>
      </c>
      <c r="AA2074">
        <v>0</v>
      </c>
      <c r="AC2074">
        <v>54</v>
      </c>
    </row>
    <row r="2075" spans="1:29">
      <c r="A2075">
        <v>2068</v>
      </c>
      <c r="B2075">
        <v>2981</v>
      </c>
      <c r="C2075" t="s">
        <v>4526</v>
      </c>
      <c r="D2075" t="s">
        <v>4527</v>
      </c>
      <c r="E2075" t="s">
        <v>451</v>
      </c>
      <c r="F2075" t="s">
        <v>4528</v>
      </c>
      <c r="G2075" t="str">
        <f>"00184941"</f>
        <v>00184941</v>
      </c>
      <c r="H2075">
        <v>40</v>
      </c>
      <c r="I2075">
        <v>0</v>
      </c>
      <c r="L2075">
        <v>4</v>
      </c>
      <c r="M2075">
        <v>4</v>
      </c>
      <c r="N2075">
        <v>4</v>
      </c>
      <c r="O2075">
        <v>0</v>
      </c>
      <c r="P2075">
        <v>48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6</v>
      </c>
      <c r="AA2075">
        <v>0</v>
      </c>
      <c r="AC2075">
        <v>54</v>
      </c>
    </row>
    <row r="2076" spans="1:29">
      <c r="A2076">
        <v>2069</v>
      </c>
      <c r="B2076">
        <v>134</v>
      </c>
      <c r="C2076" t="s">
        <v>4524</v>
      </c>
      <c r="D2076" t="s">
        <v>210</v>
      </c>
      <c r="E2076" t="s">
        <v>28</v>
      </c>
      <c r="F2076" t="s">
        <v>4525</v>
      </c>
      <c r="G2076" t="str">
        <f>"200802006831"</f>
        <v>200802006831</v>
      </c>
      <c r="H2076">
        <v>40</v>
      </c>
      <c r="I2076">
        <v>0</v>
      </c>
      <c r="L2076">
        <v>4</v>
      </c>
      <c r="M2076">
        <v>4</v>
      </c>
      <c r="N2076">
        <v>4</v>
      </c>
      <c r="O2076">
        <v>0</v>
      </c>
      <c r="P2076">
        <v>48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6</v>
      </c>
      <c r="AA2076">
        <v>0</v>
      </c>
      <c r="AC2076">
        <v>54</v>
      </c>
    </row>
    <row r="2077" spans="1:29">
      <c r="A2077">
        <v>2070</v>
      </c>
      <c r="B2077">
        <v>4648</v>
      </c>
      <c r="C2077" t="s">
        <v>3738</v>
      </c>
      <c r="D2077" t="s">
        <v>108</v>
      </c>
      <c r="E2077" t="s">
        <v>15</v>
      </c>
      <c r="F2077" t="s">
        <v>4530</v>
      </c>
      <c r="G2077" t="str">
        <f>"00773095"</f>
        <v>00773095</v>
      </c>
      <c r="H2077">
        <v>36</v>
      </c>
      <c r="I2077">
        <v>0</v>
      </c>
      <c r="J2077">
        <v>8</v>
      </c>
      <c r="M2077">
        <v>8</v>
      </c>
      <c r="N2077">
        <v>4</v>
      </c>
      <c r="O2077">
        <v>0</v>
      </c>
      <c r="P2077">
        <v>48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6</v>
      </c>
      <c r="AA2077">
        <v>0</v>
      </c>
      <c r="AC2077">
        <v>54</v>
      </c>
    </row>
    <row r="2078" spans="1:29">
      <c r="A2078">
        <v>2071</v>
      </c>
      <c r="B2078">
        <v>4039</v>
      </c>
      <c r="C2078" t="s">
        <v>4531</v>
      </c>
      <c r="D2078" t="s">
        <v>631</v>
      </c>
      <c r="E2078" t="s">
        <v>79</v>
      </c>
      <c r="F2078" t="s">
        <v>4532</v>
      </c>
      <c r="G2078" t="str">
        <f>"00864093"</f>
        <v>00864093</v>
      </c>
      <c r="H2078">
        <v>40</v>
      </c>
      <c r="I2078">
        <v>10</v>
      </c>
      <c r="M2078">
        <v>0</v>
      </c>
      <c r="N2078">
        <v>4</v>
      </c>
      <c r="O2078">
        <v>0</v>
      </c>
      <c r="P2078">
        <v>54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C2078">
        <v>54</v>
      </c>
    </row>
    <row r="2079" spans="1:29">
      <c r="A2079">
        <v>2072</v>
      </c>
      <c r="B2079">
        <v>3035</v>
      </c>
      <c r="C2079" t="s">
        <v>4533</v>
      </c>
      <c r="D2079" t="s">
        <v>1816</v>
      </c>
      <c r="E2079" t="s">
        <v>89</v>
      </c>
      <c r="F2079" t="s">
        <v>4534</v>
      </c>
      <c r="G2079" t="str">
        <f>"00198978"</f>
        <v>00198978</v>
      </c>
      <c r="H2079">
        <v>40</v>
      </c>
      <c r="I2079">
        <v>0</v>
      </c>
      <c r="J2079">
        <v>8</v>
      </c>
      <c r="M2079">
        <v>8</v>
      </c>
      <c r="N2079">
        <v>4</v>
      </c>
      <c r="O2079">
        <v>2</v>
      </c>
      <c r="P2079">
        <v>54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C2079">
        <v>54</v>
      </c>
    </row>
    <row r="2080" spans="1:29">
      <c r="A2080">
        <v>2073</v>
      </c>
      <c r="B2080">
        <v>307</v>
      </c>
      <c r="C2080" t="s">
        <v>4535</v>
      </c>
      <c r="D2080" t="s">
        <v>4536</v>
      </c>
      <c r="E2080" t="s">
        <v>134</v>
      </c>
      <c r="F2080" t="s">
        <v>4537</v>
      </c>
      <c r="G2080" t="str">
        <f>"00526633"</f>
        <v>00526633</v>
      </c>
      <c r="H2080">
        <v>40</v>
      </c>
      <c r="I2080">
        <v>0</v>
      </c>
      <c r="J2080">
        <v>8</v>
      </c>
      <c r="M2080">
        <v>8</v>
      </c>
      <c r="N2080">
        <v>4</v>
      </c>
      <c r="O2080">
        <v>2</v>
      </c>
      <c r="P2080">
        <v>54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C2080">
        <v>54</v>
      </c>
    </row>
    <row r="2081" spans="1:29">
      <c r="A2081">
        <v>2074</v>
      </c>
      <c r="B2081">
        <v>4557</v>
      </c>
      <c r="C2081" t="s">
        <v>4538</v>
      </c>
      <c r="D2081" t="s">
        <v>175</v>
      </c>
      <c r="E2081" t="s">
        <v>122</v>
      </c>
      <c r="F2081" t="s">
        <v>4539</v>
      </c>
      <c r="G2081" t="str">
        <f>"00505240"</f>
        <v>00505240</v>
      </c>
      <c r="H2081">
        <v>34</v>
      </c>
      <c r="I2081">
        <v>10</v>
      </c>
      <c r="K2081">
        <v>6</v>
      </c>
      <c r="M2081">
        <v>6</v>
      </c>
      <c r="N2081">
        <v>4</v>
      </c>
      <c r="O2081">
        <v>0</v>
      </c>
      <c r="P2081">
        <v>54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C2081">
        <v>54</v>
      </c>
    </row>
    <row r="2082" spans="1:29">
      <c r="A2082">
        <v>2075</v>
      </c>
      <c r="B2082">
        <v>1808</v>
      </c>
      <c r="C2082" t="s">
        <v>4540</v>
      </c>
      <c r="D2082" t="s">
        <v>4541</v>
      </c>
      <c r="E2082" t="s">
        <v>36</v>
      </c>
      <c r="F2082" t="s">
        <v>4542</v>
      </c>
      <c r="G2082" t="str">
        <f>"200802007935"</f>
        <v>200802007935</v>
      </c>
      <c r="H2082">
        <v>26.92</v>
      </c>
      <c r="I2082">
        <v>0</v>
      </c>
      <c r="M2082">
        <v>0</v>
      </c>
      <c r="N2082">
        <v>4</v>
      </c>
      <c r="O2082">
        <v>2</v>
      </c>
      <c r="P2082">
        <v>32.92</v>
      </c>
      <c r="Q2082">
        <v>15</v>
      </c>
      <c r="R2082">
        <v>15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15</v>
      </c>
      <c r="Z2082">
        <v>6</v>
      </c>
      <c r="AA2082">
        <v>0</v>
      </c>
      <c r="AC2082">
        <v>53.92</v>
      </c>
    </row>
    <row r="2083" spans="1:29">
      <c r="A2083">
        <v>2076</v>
      </c>
      <c r="B2083">
        <v>3553</v>
      </c>
      <c r="C2083" t="s">
        <v>4543</v>
      </c>
      <c r="D2083" t="s">
        <v>2750</v>
      </c>
      <c r="E2083" t="s">
        <v>156</v>
      </c>
      <c r="F2083" t="s">
        <v>4544</v>
      </c>
      <c r="G2083" t="str">
        <f>"201511038831"</f>
        <v>201511038831</v>
      </c>
      <c r="H2083">
        <v>37.880000000000003</v>
      </c>
      <c r="I2083">
        <v>0</v>
      </c>
      <c r="L2083">
        <v>4</v>
      </c>
      <c r="M2083">
        <v>4</v>
      </c>
      <c r="N2083">
        <v>4</v>
      </c>
      <c r="O2083">
        <v>2</v>
      </c>
      <c r="P2083">
        <v>47.88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6</v>
      </c>
      <c r="AA2083">
        <v>0</v>
      </c>
      <c r="AC2083">
        <v>53.88</v>
      </c>
    </row>
    <row r="2084" spans="1:29">
      <c r="A2084">
        <v>2077</v>
      </c>
      <c r="B2084">
        <v>4754</v>
      </c>
      <c r="C2084" t="s">
        <v>4545</v>
      </c>
      <c r="D2084" t="s">
        <v>2487</v>
      </c>
      <c r="E2084" t="s">
        <v>340</v>
      </c>
      <c r="F2084" t="s">
        <v>4546</v>
      </c>
      <c r="G2084" t="str">
        <f>"201511037626"</f>
        <v>201511037626</v>
      </c>
      <c r="H2084">
        <v>34.799999999999997</v>
      </c>
      <c r="I2084">
        <v>0</v>
      </c>
      <c r="L2084">
        <v>4</v>
      </c>
      <c r="M2084">
        <v>4</v>
      </c>
      <c r="N2084">
        <v>4</v>
      </c>
      <c r="O2084">
        <v>2</v>
      </c>
      <c r="P2084">
        <v>44.8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9</v>
      </c>
      <c r="AA2084">
        <v>0</v>
      </c>
      <c r="AC2084">
        <v>53.8</v>
      </c>
    </row>
    <row r="2085" spans="1:29">
      <c r="A2085">
        <v>2078</v>
      </c>
      <c r="B2085">
        <v>2856</v>
      </c>
      <c r="C2085" t="s">
        <v>677</v>
      </c>
      <c r="D2085" t="s">
        <v>205</v>
      </c>
      <c r="E2085" t="s">
        <v>15</v>
      </c>
      <c r="F2085" t="s">
        <v>4547</v>
      </c>
      <c r="G2085" t="str">
        <f>"00861755"</f>
        <v>00861755</v>
      </c>
      <c r="H2085">
        <v>38.799999999999997</v>
      </c>
      <c r="I2085">
        <v>10</v>
      </c>
      <c r="M2085">
        <v>0</v>
      </c>
      <c r="N2085">
        <v>0</v>
      </c>
      <c r="O2085">
        <v>2</v>
      </c>
      <c r="P2085">
        <v>50.8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3</v>
      </c>
      <c r="AA2085">
        <v>0</v>
      </c>
      <c r="AC2085">
        <v>53.8</v>
      </c>
    </row>
    <row r="2086" spans="1:29">
      <c r="A2086">
        <v>2079</v>
      </c>
      <c r="B2086">
        <v>316</v>
      </c>
      <c r="C2086" t="s">
        <v>1295</v>
      </c>
      <c r="D2086" t="s">
        <v>27</v>
      </c>
      <c r="E2086" t="s">
        <v>134</v>
      </c>
      <c r="F2086" t="s">
        <v>4548</v>
      </c>
      <c r="G2086" t="str">
        <f>"201511033630"</f>
        <v>201511033630</v>
      </c>
      <c r="H2086">
        <v>30.8</v>
      </c>
      <c r="I2086">
        <v>10</v>
      </c>
      <c r="L2086">
        <v>4</v>
      </c>
      <c r="M2086">
        <v>4</v>
      </c>
      <c r="N2086">
        <v>4</v>
      </c>
      <c r="O2086">
        <v>2</v>
      </c>
      <c r="P2086">
        <v>50.8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3</v>
      </c>
      <c r="AA2086">
        <v>0</v>
      </c>
      <c r="AC2086">
        <v>53.8</v>
      </c>
    </row>
    <row r="2087" spans="1:29">
      <c r="A2087">
        <v>2080</v>
      </c>
      <c r="B2087">
        <v>2555</v>
      </c>
      <c r="C2087" t="s">
        <v>4477</v>
      </c>
      <c r="D2087" t="s">
        <v>164</v>
      </c>
      <c r="E2087" t="s">
        <v>15</v>
      </c>
      <c r="F2087" t="s">
        <v>4549</v>
      </c>
      <c r="G2087" t="str">
        <f>"00531470"</f>
        <v>00531470</v>
      </c>
      <c r="H2087">
        <v>15.72</v>
      </c>
      <c r="I2087">
        <v>10</v>
      </c>
      <c r="J2087">
        <v>8</v>
      </c>
      <c r="M2087">
        <v>8</v>
      </c>
      <c r="N2087">
        <v>4</v>
      </c>
      <c r="O2087">
        <v>2</v>
      </c>
      <c r="P2087">
        <v>39.72</v>
      </c>
      <c r="Q2087">
        <v>5</v>
      </c>
      <c r="R2087">
        <v>5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5</v>
      </c>
      <c r="Z2087">
        <v>9</v>
      </c>
      <c r="AA2087">
        <v>0</v>
      </c>
      <c r="AC2087">
        <v>53.72</v>
      </c>
    </row>
    <row r="2088" spans="1:29">
      <c r="A2088">
        <v>2081</v>
      </c>
      <c r="B2088">
        <v>2445</v>
      </c>
      <c r="C2088" t="s">
        <v>4550</v>
      </c>
      <c r="D2088" t="s">
        <v>175</v>
      </c>
      <c r="E2088" t="s">
        <v>337</v>
      </c>
      <c r="F2088" t="s">
        <v>4551</v>
      </c>
      <c r="G2088" t="str">
        <f>"00863529"</f>
        <v>00863529</v>
      </c>
      <c r="H2088">
        <v>39.72</v>
      </c>
      <c r="I2088">
        <v>0</v>
      </c>
      <c r="J2088">
        <v>8</v>
      </c>
      <c r="M2088">
        <v>8</v>
      </c>
      <c r="N2088">
        <v>0</v>
      </c>
      <c r="O2088">
        <v>0</v>
      </c>
      <c r="P2088">
        <v>47.72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6</v>
      </c>
      <c r="AA2088">
        <v>0</v>
      </c>
      <c r="AC2088">
        <v>53.72</v>
      </c>
    </row>
    <row r="2089" spans="1:29">
      <c r="A2089">
        <v>2082</v>
      </c>
      <c r="B2089">
        <v>2916</v>
      </c>
      <c r="C2089" t="s">
        <v>4552</v>
      </c>
      <c r="D2089" t="s">
        <v>4553</v>
      </c>
      <c r="E2089" t="s">
        <v>115</v>
      </c>
      <c r="F2089" t="s">
        <v>4554</v>
      </c>
      <c r="G2089" t="str">
        <f>"00556794"</f>
        <v>00556794</v>
      </c>
      <c r="H2089">
        <v>39.68</v>
      </c>
      <c r="I2089">
        <v>0</v>
      </c>
      <c r="L2089">
        <v>4</v>
      </c>
      <c r="M2089">
        <v>4</v>
      </c>
      <c r="N2089">
        <v>4</v>
      </c>
      <c r="O2089">
        <v>0</v>
      </c>
      <c r="P2089">
        <v>47.68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6</v>
      </c>
      <c r="AA2089">
        <v>0</v>
      </c>
      <c r="AC2089">
        <v>53.68</v>
      </c>
    </row>
    <row r="2090" spans="1:29">
      <c r="A2090">
        <v>2083</v>
      </c>
      <c r="B2090">
        <v>1321</v>
      </c>
      <c r="C2090" t="s">
        <v>4555</v>
      </c>
      <c r="D2090" t="s">
        <v>694</v>
      </c>
      <c r="E2090" t="s">
        <v>4556</v>
      </c>
      <c r="F2090" t="s">
        <v>4557</v>
      </c>
      <c r="G2090" t="str">
        <f>"00522413"</f>
        <v>00522413</v>
      </c>
      <c r="H2090">
        <v>15.64</v>
      </c>
      <c r="I2090">
        <v>10</v>
      </c>
      <c r="J2090">
        <v>8</v>
      </c>
      <c r="M2090">
        <v>8</v>
      </c>
      <c r="N2090">
        <v>4</v>
      </c>
      <c r="O2090">
        <v>2</v>
      </c>
      <c r="P2090">
        <v>39.64</v>
      </c>
      <c r="Q2090">
        <v>5</v>
      </c>
      <c r="R2090">
        <v>5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5</v>
      </c>
      <c r="Z2090">
        <v>9</v>
      </c>
      <c r="AA2090">
        <v>0</v>
      </c>
      <c r="AC2090">
        <v>53.64</v>
      </c>
    </row>
    <row r="2091" spans="1:29">
      <c r="A2091">
        <v>2084</v>
      </c>
      <c r="B2091">
        <v>3288</v>
      </c>
      <c r="C2091" t="s">
        <v>4558</v>
      </c>
      <c r="D2091" t="s">
        <v>1138</v>
      </c>
      <c r="E2091" t="s">
        <v>36</v>
      </c>
      <c r="F2091" t="s">
        <v>4559</v>
      </c>
      <c r="G2091" t="str">
        <f>"00693744"</f>
        <v>00693744</v>
      </c>
      <c r="H2091">
        <v>39.6</v>
      </c>
      <c r="I2091">
        <v>0</v>
      </c>
      <c r="L2091">
        <v>4</v>
      </c>
      <c r="M2091">
        <v>4</v>
      </c>
      <c r="N2091">
        <v>4</v>
      </c>
      <c r="O2091">
        <v>0</v>
      </c>
      <c r="P2091">
        <v>47.6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6</v>
      </c>
      <c r="AA2091">
        <v>0</v>
      </c>
      <c r="AC2091">
        <v>53.6</v>
      </c>
    </row>
    <row r="2092" spans="1:29">
      <c r="A2092">
        <v>2085</v>
      </c>
      <c r="B2092">
        <v>1292</v>
      </c>
      <c r="C2092" t="s">
        <v>4560</v>
      </c>
      <c r="D2092" t="s">
        <v>4561</v>
      </c>
      <c r="E2092" t="s">
        <v>165</v>
      </c>
      <c r="F2092" t="s">
        <v>4562</v>
      </c>
      <c r="G2092" t="str">
        <f>"00107736"</f>
        <v>00107736</v>
      </c>
      <c r="H2092">
        <v>35.6</v>
      </c>
      <c r="I2092">
        <v>0</v>
      </c>
      <c r="M2092">
        <v>0</v>
      </c>
      <c r="N2092">
        <v>4</v>
      </c>
      <c r="O2092">
        <v>0</v>
      </c>
      <c r="P2092">
        <v>39.6</v>
      </c>
      <c r="Q2092">
        <v>8</v>
      </c>
      <c r="R2092">
        <v>8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8</v>
      </c>
      <c r="Z2092">
        <v>6</v>
      </c>
      <c r="AA2092">
        <v>0</v>
      </c>
      <c r="AC2092">
        <v>53.6</v>
      </c>
    </row>
    <row r="2093" spans="1:29">
      <c r="A2093">
        <v>2086</v>
      </c>
      <c r="B2093">
        <v>4807</v>
      </c>
      <c r="C2093" t="s">
        <v>4563</v>
      </c>
      <c r="D2093" t="s">
        <v>465</v>
      </c>
      <c r="E2093" t="s">
        <v>79</v>
      </c>
      <c r="F2093" t="s">
        <v>4564</v>
      </c>
      <c r="G2093" t="str">
        <f>"00223558"</f>
        <v>00223558</v>
      </c>
      <c r="H2093">
        <v>21.6</v>
      </c>
      <c r="I2093">
        <v>0</v>
      </c>
      <c r="K2093">
        <v>6</v>
      </c>
      <c r="M2093">
        <v>6</v>
      </c>
      <c r="N2093">
        <v>4</v>
      </c>
      <c r="O2093">
        <v>2</v>
      </c>
      <c r="P2093">
        <v>33.6</v>
      </c>
      <c r="Q2093">
        <v>17</v>
      </c>
      <c r="R2093">
        <v>17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17</v>
      </c>
      <c r="Z2093">
        <v>3</v>
      </c>
      <c r="AA2093">
        <v>0</v>
      </c>
      <c r="AC2093">
        <v>53.6</v>
      </c>
    </row>
    <row r="2094" spans="1:29">
      <c r="A2094">
        <v>2087</v>
      </c>
      <c r="B2094">
        <v>2949</v>
      </c>
      <c r="C2094" t="s">
        <v>4570</v>
      </c>
      <c r="D2094" t="s">
        <v>59</v>
      </c>
      <c r="E2094" t="s">
        <v>79</v>
      </c>
      <c r="F2094" t="s">
        <v>4571</v>
      </c>
      <c r="G2094" t="str">
        <f>"201511029196"</f>
        <v>201511029196</v>
      </c>
      <c r="H2094">
        <v>39.6</v>
      </c>
      <c r="I2094">
        <v>10</v>
      </c>
      <c r="M2094">
        <v>0</v>
      </c>
      <c r="N2094">
        <v>4</v>
      </c>
      <c r="O2094">
        <v>0</v>
      </c>
      <c r="P2094">
        <v>53.6</v>
      </c>
      <c r="Q2094">
        <v>0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0</v>
      </c>
      <c r="Z2094">
        <v>0</v>
      </c>
      <c r="AA2094">
        <v>0</v>
      </c>
      <c r="AC2094">
        <v>53.6</v>
      </c>
    </row>
    <row r="2095" spans="1:29">
      <c r="A2095">
        <v>2088</v>
      </c>
      <c r="B2095">
        <v>769</v>
      </c>
      <c r="C2095" t="s">
        <v>4565</v>
      </c>
      <c r="D2095" t="s">
        <v>248</v>
      </c>
      <c r="E2095" t="s">
        <v>134</v>
      </c>
      <c r="F2095" t="s">
        <v>4566</v>
      </c>
      <c r="G2095" t="str">
        <f>"00508290"</f>
        <v>00508290</v>
      </c>
      <c r="H2095">
        <v>39.6</v>
      </c>
      <c r="I2095">
        <v>0</v>
      </c>
      <c r="J2095">
        <v>8</v>
      </c>
      <c r="M2095">
        <v>8</v>
      </c>
      <c r="N2095">
        <v>4</v>
      </c>
      <c r="O2095">
        <v>2</v>
      </c>
      <c r="P2095">
        <v>53.6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0</v>
      </c>
      <c r="Z2095">
        <v>0</v>
      </c>
      <c r="AA2095">
        <v>0</v>
      </c>
      <c r="AC2095">
        <v>53.6</v>
      </c>
    </row>
    <row r="2096" spans="1:29">
      <c r="A2096">
        <v>2089</v>
      </c>
      <c r="B2096">
        <v>655</v>
      </c>
      <c r="C2096" t="s">
        <v>762</v>
      </c>
      <c r="D2096" t="s">
        <v>164</v>
      </c>
      <c r="E2096" t="s">
        <v>79</v>
      </c>
      <c r="F2096" t="s">
        <v>4569</v>
      </c>
      <c r="G2096" t="str">
        <f>"00561631"</f>
        <v>00561631</v>
      </c>
      <c r="H2096">
        <v>39.6</v>
      </c>
      <c r="I2096">
        <v>10</v>
      </c>
      <c r="M2096">
        <v>0</v>
      </c>
      <c r="N2096">
        <v>4</v>
      </c>
      <c r="O2096">
        <v>0</v>
      </c>
      <c r="P2096">
        <v>53.6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C2096">
        <v>53.6</v>
      </c>
    </row>
    <row r="2097" spans="1:29">
      <c r="A2097">
        <v>2090</v>
      </c>
      <c r="B2097">
        <v>4804</v>
      </c>
      <c r="C2097" t="s">
        <v>4060</v>
      </c>
      <c r="D2097" t="s">
        <v>35</v>
      </c>
      <c r="E2097" t="s">
        <v>4567</v>
      </c>
      <c r="F2097" t="s">
        <v>4568</v>
      </c>
      <c r="G2097" t="str">
        <f>"00533821"</f>
        <v>00533821</v>
      </c>
      <c r="H2097">
        <v>39.6</v>
      </c>
      <c r="I2097">
        <v>10</v>
      </c>
      <c r="M2097">
        <v>0</v>
      </c>
      <c r="N2097">
        <v>4</v>
      </c>
      <c r="O2097">
        <v>0</v>
      </c>
      <c r="P2097">
        <v>53.6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C2097">
        <v>53.6</v>
      </c>
    </row>
    <row r="2098" spans="1:29">
      <c r="A2098">
        <v>2091</v>
      </c>
      <c r="B2098">
        <v>1249</v>
      </c>
      <c r="C2098" t="s">
        <v>4572</v>
      </c>
      <c r="D2098" t="s">
        <v>4573</v>
      </c>
      <c r="E2098" t="s">
        <v>134</v>
      </c>
      <c r="F2098" t="s">
        <v>4574</v>
      </c>
      <c r="G2098" t="str">
        <f>"00426166"</f>
        <v>00426166</v>
      </c>
      <c r="H2098">
        <v>31.6</v>
      </c>
      <c r="I2098">
        <v>0</v>
      </c>
      <c r="L2098">
        <v>4</v>
      </c>
      <c r="M2098">
        <v>4</v>
      </c>
      <c r="N2098">
        <v>4</v>
      </c>
      <c r="O2098">
        <v>0</v>
      </c>
      <c r="P2098">
        <v>39.6</v>
      </c>
      <c r="Q2098">
        <v>14</v>
      </c>
      <c r="R2098">
        <v>14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14</v>
      </c>
      <c r="Z2098">
        <v>0</v>
      </c>
      <c r="AA2098">
        <v>0</v>
      </c>
      <c r="AC2098">
        <v>53.6</v>
      </c>
    </row>
    <row r="2099" spans="1:29">
      <c r="A2099">
        <v>2092</v>
      </c>
      <c r="B2099">
        <v>5</v>
      </c>
      <c r="C2099" t="s">
        <v>3042</v>
      </c>
      <c r="D2099" t="s">
        <v>108</v>
      </c>
      <c r="E2099" t="s">
        <v>18</v>
      </c>
      <c r="F2099" t="s">
        <v>4575</v>
      </c>
      <c r="G2099" t="str">
        <f>"00530979"</f>
        <v>00530979</v>
      </c>
      <c r="H2099">
        <v>21.6</v>
      </c>
      <c r="I2099">
        <v>0</v>
      </c>
      <c r="J2099">
        <v>8</v>
      </c>
      <c r="M2099">
        <v>8</v>
      </c>
      <c r="N2099">
        <v>4</v>
      </c>
      <c r="O2099">
        <v>2</v>
      </c>
      <c r="P2099">
        <v>35.6</v>
      </c>
      <c r="Q2099">
        <v>18</v>
      </c>
      <c r="R2099">
        <v>18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18</v>
      </c>
      <c r="Z2099">
        <v>0</v>
      </c>
      <c r="AA2099">
        <v>0</v>
      </c>
      <c r="AC2099">
        <v>53.6</v>
      </c>
    </row>
    <row r="2100" spans="1:29">
      <c r="A2100">
        <v>2093</v>
      </c>
      <c r="B2100">
        <v>1623</v>
      </c>
      <c r="C2100" t="s">
        <v>4576</v>
      </c>
      <c r="D2100" t="s">
        <v>687</v>
      </c>
      <c r="E2100" t="s">
        <v>79</v>
      </c>
      <c r="F2100" t="s">
        <v>4577</v>
      </c>
      <c r="G2100" t="str">
        <f>"00507212"</f>
        <v>00507212</v>
      </c>
      <c r="H2100">
        <v>21.6</v>
      </c>
      <c r="I2100">
        <v>0</v>
      </c>
      <c r="L2100">
        <v>4</v>
      </c>
      <c r="M2100">
        <v>4</v>
      </c>
      <c r="N2100">
        <v>4</v>
      </c>
      <c r="O2100">
        <v>2</v>
      </c>
      <c r="P2100">
        <v>31.6</v>
      </c>
      <c r="Q2100">
        <v>22</v>
      </c>
      <c r="R2100">
        <v>22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22</v>
      </c>
      <c r="Z2100">
        <v>0</v>
      </c>
      <c r="AA2100">
        <v>0</v>
      </c>
      <c r="AC2100">
        <v>53.6</v>
      </c>
    </row>
    <row r="2101" spans="1:29">
      <c r="A2101">
        <v>2094</v>
      </c>
      <c r="B2101">
        <v>3611</v>
      </c>
      <c r="C2101" t="s">
        <v>4578</v>
      </c>
      <c r="D2101" t="s">
        <v>39</v>
      </c>
      <c r="E2101" t="s">
        <v>36</v>
      </c>
      <c r="F2101" t="s">
        <v>4579</v>
      </c>
      <c r="G2101" t="str">
        <f>"00507538"</f>
        <v>00507538</v>
      </c>
      <c r="H2101">
        <v>21.6</v>
      </c>
      <c r="I2101">
        <v>0</v>
      </c>
      <c r="M2101">
        <v>0</v>
      </c>
      <c r="N2101">
        <v>4</v>
      </c>
      <c r="O2101">
        <v>0</v>
      </c>
      <c r="P2101">
        <v>25.6</v>
      </c>
      <c r="Q2101">
        <v>28</v>
      </c>
      <c r="R2101">
        <v>28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28</v>
      </c>
      <c r="Z2101">
        <v>0</v>
      </c>
      <c r="AA2101">
        <v>0</v>
      </c>
      <c r="AC2101">
        <v>53.6</v>
      </c>
    </row>
    <row r="2102" spans="1:29">
      <c r="A2102">
        <v>2095</v>
      </c>
      <c r="B2102">
        <v>4050</v>
      </c>
      <c r="C2102" t="s">
        <v>4580</v>
      </c>
      <c r="D2102" t="s">
        <v>39</v>
      </c>
      <c r="E2102" t="s">
        <v>15</v>
      </c>
      <c r="F2102" t="s">
        <v>4581</v>
      </c>
      <c r="G2102" t="str">
        <f>"00480265"</f>
        <v>00480265</v>
      </c>
      <c r="H2102">
        <v>22.56</v>
      </c>
      <c r="I2102">
        <v>0</v>
      </c>
      <c r="M2102">
        <v>0</v>
      </c>
      <c r="N2102">
        <v>4</v>
      </c>
      <c r="O2102">
        <v>0</v>
      </c>
      <c r="P2102">
        <v>26.56</v>
      </c>
      <c r="Q2102">
        <v>27</v>
      </c>
      <c r="R2102">
        <v>27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27</v>
      </c>
      <c r="Z2102">
        <v>0</v>
      </c>
      <c r="AA2102">
        <v>0</v>
      </c>
      <c r="AC2102">
        <v>53.56</v>
      </c>
    </row>
    <row r="2103" spans="1:29">
      <c r="A2103">
        <v>2096</v>
      </c>
      <c r="B2103">
        <v>3184</v>
      </c>
      <c r="C2103" t="s">
        <v>4582</v>
      </c>
      <c r="D2103" t="s">
        <v>210</v>
      </c>
      <c r="E2103" t="s">
        <v>66</v>
      </c>
      <c r="F2103" t="s">
        <v>4583</v>
      </c>
      <c r="G2103" t="str">
        <f>"00060633"</f>
        <v>00060633</v>
      </c>
      <c r="H2103">
        <v>29.44</v>
      </c>
      <c r="I2103">
        <v>10</v>
      </c>
      <c r="L2103">
        <v>4</v>
      </c>
      <c r="M2103">
        <v>4</v>
      </c>
      <c r="N2103">
        <v>4</v>
      </c>
      <c r="O2103">
        <v>0</v>
      </c>
      <c r="P2103">
        <v>47.44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6</v>
      </c>
      <c r="AA2103">
        <v>0</v>
      </c>
      <c r="AC2103">
        <v>53.44</v>
      </c>
    </row>
    <row r="2104" spans="1:29">
      <c r="A2104">
        <v>2097</v>
      </c>
      <c r="B2104">
        <v>4182</v>
      </c>
      <c r="C2104" t="s">
        <v>4584</v>
      </c>
      <c r="D2104" t="s">
        <v>130</v>
      </c>
      <c r="E2104" t="s">
        <v>60</v>
      </c>
      <c r="F2104" t="s">
        <v>4585</v>
      </c>
      <c r="G2104" t="str">
        <f>"00459476"</f>
        <v>00459476</v>
      </c>
      <c r="H2104">
        <v>50.4</v>
      </c>
      <c r="I2104">
        <v>0</v>
      </c>
      <c r="M2104">
        <v>0</v>
      </c>
      <c r="N2104">
        <v>0</v>
      </c>
      <c r="O2104">
        <v>0</v>
      </c>
      <c r="P2104">
        <v>50.4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3</v>
      </c>
      <c r="AA2104">
        <v>0</v>
      </c>
      <c r="AC2104">
        <v>53.4</v>
      </c>
    </row>
    <row r="2105" spans="1:29">
      <c r="A2105">
        <v>2098</v>
      </c>
      <c r="B2105">
        <v>3087</v>
      </c>
      <c r="C2105" t="s">
        <v>4586</v>
      </c>
      <c r="D2105" t="s">
        <v>130</v>
      </c>
      <c r="E2105" t="s">
        <v>970</v>
      </c>
      <c r="F2105" t="s">
        <v>4587</v>
      </c>
      <c r="G2105" t="str">
        <f>"00771823"</f>
        <v>00771823</v>
      </c>
      <c r="H2105">
        <v>50.4</v>
      </c>
      <c r="I2105">
        <v>0</v>
      </c>
      <c r="M2105">
        <v>0</v>
      </c>
      <c r="N2105">
        <v>0</v>
      </c>
      <c r="O2105">
        <v>0</v>
      </c>
      <c r="P2105">
        <v>50.4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3</v>
      </c>
      <c r="AA2105">
        <v>0</v>
      </c>
      <c r="AC2105">
        <v>53.4</v>
      </c>
    </row>
    <row r="2106" spans="1:29">
      <c r="A2106">
        <v>2099</v>
      </c>
      <c r="B2106">
        <v>4451</v>
      </c>
      <c r="C2106" t="s">
        <v>4588</v>
      </c>
      <c r="D2106" t="s">
        <v>35</v>
      </c>
      <c r="E2106" t="s">
        <v>337</v>
      </c>
      <c r="F2106" t="s">
        <v>4589</v>
      </c>
      <c r="G2106" t="str">
        <f>"00477621"</f>
        <v>00477621</v>
      </c>
      <c r="H2106">
        <v>50.4</v>
      </c>
      <c r="I2106">
        <v>0</v>
      </c>
      <c r="M2106">
        <v>0</v>
      </c>
      <c r="N2106">
        <v>0</v>
      </c>
      <c r="O2106">
        <v>0</v>
      </c>
      <c r="P2106">
        <v>50.4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3</v>
      </c>
      <c r="AA2106">
        <v>0</v>
      </c>
      <c r="AC2106">
        <v>53.4</v>
      </c>
    </row>
    <row r="2107" spans="1:29">
      <c r="A2107">
        <v>2100</v>
      </c>
      <c r="B2107">
        <v>442</v>
      </c>
      <c r="C2107" t="s">
        <v>1093</v>
      </c>
      <c r="D2107" t="s">
        <v>4590</v>
      </c>
      <c r="E2107" t="s">
        <v>237</v>
      </c>
      <c r="F2107" t="s">
        <v>4591</v>
      </c>
      <c r="G2107" t="str">
        <f>"00659100"</f>
        <v>00659100</v>
      </c>
      <c r="H2107">
        <v>50.4</v>
      </c>
      <c r="I2107">
        <v>0</v>
      </c>
      <c r="M2107">
        <v>0</v>
      </c>
      <c r="N2107">
        <v>0</v>
      </c>
      <c r="O2107">
        <v>0</v>
      </c>
      <c r="P2107">
        <v>50.4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3</v>
      </c>
      <c r="AA2107">
        <v>0</v>
      </c>
      <c r="AC2107">
        <v>53.4</v>
      </c>
    </row>
    <row r="2108" spans="1:29">
      <c r="A2108">
        <v>2101</v>
      </c>
      <c r="B2108">
        <v>1682</v>
      </c>
      <c r="C2108" t="s">
        <v>4592</v>
      </c>
      <c r="D2108" t="s">
        <v>2650</v>
      </c>
      <c r="E2108" t="s">
        <v>115</v>
      </c>
      <c r="F2108" t="s">
        <v>4593</v>
      </c>
      <c r="G2108" t="str">
        <f>"00069314"</f>
        <v>00069314</v>
      </c>
      <c r="H2108">
        <v>14.4</v>
      </c>
      <c r="I2108">
        <v>0</v>
      </c>
      <c r="M2108">
        <v>0</v>
      </c>
      <c r="N2108">
        <v>4</v>
      </c>
      <c r="O2108">
        <v>2</v>
      </c>
      <c r="P2108">
        <v>20.399999999999999</v>
      </c>
      <c r="Q2108">
        <v>16</v>
      </c>
      <c r="R2108">
        <v>16</v>
      </c>
      <c r="S2108">
        <v>7</v>
      </c>
      <c r="T2108">
        <v>14</v>
      </c>
      <c r="U2108">
        <v>0</v>
      </c>
      <c r="V2108">
        <v>0</v>
      </c>
      <c r="W2108">
        <v>0</v>
      </c>
      <c r="X2108">
        <v>0</v>
      </c>
      <c r="Y2108">
        <v>30</v>
      </c>
      <c r="Z2108">
        <v>3</v>
      </c>
      <c r="AA2108">
        <v>0</v>
      </c>
      <c r="AC2108">
        <v>53.4</v>
      </c>
    </row>
    <row r="2109" spans="1:29">
      <c r="A2109">
        <v>2102</v>
      </c>
      <c r="B2109">
        <v>1376</v>
      </c>
      <c r="C2109" t="s">
        <v>4594</v>
      </c>
      <c r="D2109" t="s">
        <v>1115</v>
      </c>
      <c r="E2109" t="s">
        <v>187</v>
      </c>
      <c r="F2109" t="s">
        <v>4595</v>
      </c>
      <c r="G2109" t="str">
        <f>"00561449"</f>
        <v>00561449</v>
      </c>
      <c r="H2109">
        <v>33.32</v>
      </c>
      <c r="I2109">
        <v>10</v>
      </c>
      <c r="M2109">
        <v>0</v>
      </c>
      <c r="N2109">
        <v>4</v>
      </c>
      <c r="O2109">
        <v>0</v>
      </c>
      <c r="P2109">
        <v>47.32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6</v>
      </c>
      <c r="AA2109">
        <v>0</v>
      </c>
      <c r="AC2109">
        <v>53.32</v>
      </c>
    </row>
    <row r="2110" spans="1:29">
      <c r="A2110">
        <v>2103</v>
      </c>
      <c r="B2110">
        <v>492</v>
      </c>
      <c r="C2110" t="s">
        <v>4596</v>
      </c>
      <c r="D2110" t="s">
        <v>784</v>
      </c>
      <c r="E2110" t="s">
        <v>36</v>
      </c>
      <c r="F2110" t="s">
        <v>4597</v>
      </c>
      <c r="G2110" t="str">
        <f>"00554360"</f>
        <v>00554360</v>
      </c>
      <c r="H2110">
        <v>39.28</v>
      </c>
      <c r="I2110">
        <v>0</v>
      </c>
      <c r="L2110">
        <v>4</v>
      </c>
      <c r="M2110">
        <v>4</v>
      </c>
      <c r="N2110">
        <v>4</v>
      </c>
      <c r="O2110">
        <v>0</v>
      </c>
      <c r="P2110">
        <v>47.28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6</v>
      </c>
      <c r="AA2110">
        <v>0</v>
      </c>
      <c r="AC2110">
        <v>53.28</v>
      </c>
    </row>
    <row r="2111" spans="1:29">
      <c r="A2111">
        <v>2104</v>
      </c>
      <c r="B2111">
        <v>3451</v>
      </c>
      <c r="C2111" t="s">
        <v>4598</v>
      </c>
      <c r="D2111" t="s">
        <v>27</v>
      </c>
      <c r="E2111" t="s">
        <v>227</v>
      </c>
      <c r="F2111" t="s">
        <v>4599</v>
      </c>
      <c r="G2111" t="str">
        <f>"00526343"</f>
        <v>00526343</v>
      </c>
      <c r="H2111">
        <v>34.24</v>
      </c>
      <c r="I2111">
        <v>0</v>
      </c>
      <c r="M2111">
        <v>0</v>
      </c>
      <c r="N2111">
        <v>0</v>
      </c>
      <c r="O2111">
        <v>0</v>
      </c>
      <c r="P2111">
        <v>34.24</v>
      </c>
      <c r="Q2111">
        <v>13</v>
      </c>
      <c r="R2111">
        <v>13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13</v>
      </c>
      <c r="Z2111">
        <v>6</v>
      </c>
      <c r="AA2111">
        <v>0</v>
      </c>
      <c r="AC2111">
        <v>53.24</v>
      </c>
    </row>
    <row r="2112" spans="1:29">
      <c r="A2112">
        <v>2105</v>
      </c>
      <c r="B2112">
        <v>3696</v>
      </c>
      <c r="C2112" t="s">
        <v>4600</v>
      </c>
      <c r="D2112" t="s">
        <v>27</v>
      </c>
      <c r="E2112" t="s">
        <v>436</v>
      </c>
      <c r="F2112" t="s">
        <v>4601</v>
      </c>
      <c r="G2112" t="str">
        <f>"00515332"</f>
        <v>00515332</v>
      </c>
      <c r="H2112">
        <v>7.2</v>
      </c>
      <c r="I2112">
        <v>10</v>
      </c>
      <c r="M2112">
        <v>0</v>
      </c>
      <c r="N2112">
        <v>0</v>
      </c>
      <c r="O2112">
        <v>0</v>
      </c>
      <c r="P2112">
        <v>17.2</v>
      </c>
      <c r="Q2112">
        <v>24</v>
      </c>
      <c r="R2112">
        <v>24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24</v>
      </c>
      <c r="Z2112">
        <v>12</v>
      </c>
      <c r="AA2112">
        <v>0</v>
      </c>
      <c r="AC2112">
        <v>53.2</v>
      </c>
    </row>
    <row r="2113" spans="1:29">
      <c r="A2113">
        <v>2106</v>
      </c>
      <c r="B2113">
        <v>455</v>
      </c>
      <c r="C2113" t="s">
        <v>4603</v>
      </c>
      <c r="D2113" t="s">
        <v>69</v>
      </c>
      <c r="E2113" t="s">
        <v>337</v>
      </c>
      <c r="F2113" t="s">
        <v>4604</v>
      </c>
      <c r="G2113" t="str">
        <f>"201406000081"</f>
        <v>201406000081</v>
      </c>
      <c r="H2113">
        <v>43.2</v>
      </c>
      <c r="I2113">
        <v>0</v>
      </c>
      <c r="M2113">
        <v>0</v>
      </c>
      <c r="N2113">
        <v>4</v>
      </c>
      <c r="O2113">
        <v>0</v>
      </c>
      <c r="P2113">
        <v>47.2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6</v>
      </c>
      <c r="AA2113">
        <v>0</v>
      </c>
      <c r="AC2113">
        <v>53.2</v>
      </c>
    </row>
    <row r="2114" spans="1:29">
      <c r="A2114">
        <v>2107</v>
      </c>
      <c r="B2114">
        <v>932</v>
      </c>
      <c r="C2114" t="s">
        <v>3374</v>
      </c>
      <c r="D2114" t="s">
        <v>27</v>
      </c>
      <c r="E2114" t="s">
        <v>1450</v>
      </c>
      <c r="F2114" t="s">
        <v>4602</v>
      </c>
      <c r="G2114" t="str">
        <f>"201408000009"</f>
        <v>201408000009</v>
      </c>
      <c r="H2114">
        <v>43.2</v>
      </c>
      <c r="I2114">
        <v>0</v>
      </c>
      <c r="M2114">
        <v>0</v>
      </c>
      <c r="N2114">
        <v>4</v>
      </c>
      <c r="O2114">
        <v>0</v>
      </c>
      <c r="P2114">
        <v>47.2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6</v>
      </c>
      <c r="AA2114">
        <v>0</v>
      </c>
      <c r="AC2114">
        <v>53.2</v>
      </c>
    </row>
    <row r="2115" spans="1:29">
      <c r="A2115">
        <v>2108</v>
      </c>
      <c r="B2115">
        <v>2553</v>
      </c>
      <c r="C2115" t="s">
        <v>3864</v>
      </c>
      <c r="D2115" t="s">
        <v>108</v>
      </c>
      <c r="E2115" t="s">
        <v>1366</v>
      </c>
      <c r="F2115" t="s">
        <v>4615</v>
      </c>
      <c r="G2115" t="str">
        <f>"00185670"</f>
        <v>00185670</v>
      </c>
      <c r="H2115">
        <v>43.2</v>
      </c>
      <c r="I2115">
        <v>10</v>
      </c>
      <c r="M2115">
        <v>0</v>
      </c>
      <c r="N2115">
        <v>0</v>
      </c>
      <c r="O2115">
        <v>0</v>
      </c>
      <c r="P2115">
        <v>53.2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0</v>
      </c>
      <c r="AC2115">
        <v>53.2</v>
      </c>
    </row>
    <row r="2116" spans="1:29">
      <c r="A2116">
        <v>2109</v>
      </c>
      <c r="B2116">
        <v>499</v>
      </c>
      <c r="C2116" t="s">
        <v>467</v>
      </c>
      <c r="D2116" t="s">
        <v>86</v>
      </c>
      <c r="E2116" t="s">
        <v>745</v>
      </c>
      <c r="F2116" t="s">
        <v>4616</v>
      </c>
      <c r="G2116" t="str">
        <f>"00498672"</f>
        <v>00498672</v>
      </c>
      <c r="H2116">
        <v>43.2</v>
      </c>
      <c r="I2116">
        <v>0</v>
      </c>
      <c r="L2116">
        <v>4</v>
      </c>
      <c r="M2116">
        <v>4</v>
      </c>
      <c r="N2116">
        <v>4</v>
      </c>
      <c r="O2116">
        <v>2</v>
      </c>
      <c r="P2116">
        <v>53.2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0</v>
      </c>
      <c r="AC2116">
        <v>53.2</v>
      </c>
    </row>
    <row r="2117" spans="1:29">
      <c r="A2117">
        <v>2110</v>
      </c>
      <c r="B2117">
        <v>4512</v>
      </c>
      <c r="C2117" t="s">
        <v>1858</v>
      </c>
      <c r="D2117" t="s">
        <v>52</v>
      </c>
      <c r="E2117" t="s">
        <v>77</v>
      </c>
      <c r="F2117" t="s">
        <v>4610</v>
      </c>
      <c r="G2117" t="str">
        <f>"00311163"</f>
        <v>00311163</v>
      </c>
      <c r="H2117">
        <v>43.2</v>
      </c>
      <c r="I2117">
        <v>0</v>
      </c>
      <c r="L2117">
        <v>4</v>
      </c>
      <c r="M2117">
        <v>4</v>
      </c>
      <c r="N2117">
        <v>4</v>
      </c>
      <c r="O2117">
        <v>2</v>
      </c>
      <c r="P2117">
        <v>53.2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0</v>
      </c>
      <c r="AA2117">
        <v>0</v>
      </c>
      <c r="AC2117">
        <v>53.2</v>
      </c>
    </row>
    <row r="2118" spans="1:29">
      <c r="A2118">
        <v>2111</v>
      </c>
      <c r="B2118">
        <v>3000</v>
      </c>
      <c r="C2118" t="s">
        <v>2043</v>
      </c>
      <c r="D2118" t="s">
        <v>175</v>
      </c>
      <c r="E2118" t="s">
        <v>79</v>
      </c>
      <c r="F2118" t="s">
        <v>4607</v>
      </c>
      <c r="G2118" t="str">
        <f>"00859994"</f>
        <v>00859994</v>
      </c>
      <c r="H2118">
        <v>43.2</v>
      </c>
      <c r="I2118">
        <v>0</v>
      </c>
      <c r="L2118">
        <v>4</v>
      </c>
      <c r="M2118">
        <v>4</v>
      </c>
      <c r="N2118">
        <v>4</v>
      </c>
      <c r="O2118">
        <v>2</v>
      </c>
      <c r="P2118">
        <v>53.2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0</v>
      </c>
      <c r="AC2118">
        <v>53.2</v>
      </c>
    </row>
    <row r="2119" spans="1:29">
      <c r="A2119">
        <v>2112</v>
      </c>
      <c r="B2119">
        <v>1949</v>
      </c>
      <c r="C2119" t="s">
        <v>3044</v>
      </c>
      <c r="D2119" t="s">
        <v>159</v>
      </c>
      <c r="E2119" t="s">
        <v>134</v>
      </c>
      <c r="F2119" t="s">
        <v>4614</v>
      </c>
      <c r="G2119" t="str">
        <f>"00554940"</f>
        <v>00554940</v>
      </c>
      <c r="H2119">
        <v>43.2</v>
      </c>
      <c r="I2119">
        <v>10</v>
      </c>
      <c r="M2119">
        <v>0</v>
      </c>
      <c r="N2119">
        <v>0</v>
      </c>
      <c r="O2119">
        <v>0</v>
      </c>
      <c r="P2119">
        <v>53.2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0</v>
      </c>
      <c r="AA2119">
        <v>0</v>
      </c>
      <c r="AC2119">
        <v>53.2</v>
      </c>
    </row>
    <row r="2120" spans="1:29">
      <c r="A2120">
        <v>2113</v>
      </c>
      <c r="B2120">
        <v>4068</v>
      </c>
      <c r="C2120" t="s">
        <v>4608</v>
      </c>
      <c r="D2120" t="s">
        <v>510</v>
      </c>
      <c r="E2120" t="s">
        <v>79</v>
      </c>
      <c r="F2120" t="s">
        <v>4609</v>
      </c>
      <c r="G2120" t="str">
        <f>"00794086"</f>
        <v>00794086</v>
      </c>
      <c r="H2120">
        <v>43.2</v>
      </c>
      <c r="I2120">
        <v>0</v>
      </c>
      <c r="L2120">
        <v>4</v>
      </c>
      <c r="M2120">
        <v>4</v>
      </c>
      <c r="N2120">
        <v>4</v>
      </c>
      <c r="O2120">
        <v>2</v>
      </c>
      <c r="P2120">
        <v>53.2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0</v>
      </c>
      <c r="AA2120">
        <v>0</v>
      </c>
      <c r="AC2120">
        <v>53.2</v>
      </c>
    </row>
    <row r="2121" spans="1:29">
      <c r="A2121">
        <v>2114</v>
      </c>
      <c r="B2121">
        <v>2691</v>
      </c>
      <c r="C2121" t="s">
        <v>4605</v>
      </c>
      <c r="D2121" t="s">
        <v>784</v>
      </c>
      <c r="E2121" t="s">
        <v>18</v>
      </c>
      <c r="F2121" t="s">
        <v>4606</v>
      </c>
      <c r="G2121" t="str">
        <f>"00565540"</f>
        <v>00565540</v>
      </c>
      <c r="H2121">
        <v>43.2</v>
      </c>
      <c r="I2121">
        <v>0</v>
      </c>
      <c r="L2121">
        <v>4</v>
      </c>
      <c r="M2121">
        <v>4</v>
      </c>
      <c r="N2121">
        <v>4</v>
      </c>
      <c r="O2121">
        <v>2</v>
      </c>
      <c r="P2121">
        <v>53.2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0</v>
      </c>
      <c r="AC2121">
        <v>53.2</v>
      </c>
    </row>
    <row r="2122" spans="1:29">
      <c r="A2122">
        <v>2115</v>
      </c>
      <c r="B2122">
        <v>972</v>
      </c>
      <c r="C2122" t="s">
        <v>4611</v>
      </c>
      <c r="D2122" t="s">
        <v>4612</v>
      </c>
      <c r="E2122" t="s">
        <v>165</v>
      </c>
      <c r="F2122" t="s">
        <v>4613</v>
      </c>
      <c r="G2122" t="str">
        <f>"00856702"</f>
        <v>00856702</v>
      </c>
      <c r="H2122">
        <v>43.2</v>
      </c>
      <c r="I2122">
        <v>10</v>
      </c>
      <c r="M2122">
        <v>0</v>
      </c>
      <c r="N2122">
        <v>0</v>
      </c>
      <c r="O2122">
        <v>0</v>
      </c>
      <c r="P2122">
        <v>53.2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0</v>
      </c>
      <c r="AC2122">
        <v>53.2</v>
      </c>
    </row>
    <row r="2123" spans="1:29">
      <c r="A2123">
        <v>2116</v>
      </c>
      <c r="B2123">
        <v>1974</v>
      </c>
      <c r="C2123" t="s">
        <v>4617</v>
      </c>
      <c r="D2123" t="s">
        <v>27</v>
      </c>
      <c r="E2123" t="s">
        <v>237</v>
      </c>
      <c r="F2123" t="s">
        <v>4618</v>
      </c>
      <c r="G2123" t="str">
        <f>"00193688"</f>
        <v>00193688</v>
      </c>
      <c r="H2123">
        <v>39.200000000000003</v>
      </c>
      <c r="I2123">
        <v>0</v>
      </c>
      <c r="J2123">
        <v>8</v>
      </c>
      <c r="M2123">
        <v>8</v>
      </c>
      <c r="N2123">
        <v>4</v>
      </c>
      <c r="O2123">
        <v>2</v>
      </c>
      <c r="P2123">
        <v>53.2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0</v>
      </c>
      <c r="AC2123">
        <v>53.2</v>
      </c>
    </row>
    <row r="2124" spans="1:29">
      <c r="A2124">
        <v>2117</v>
      </c>
      <c r="B2124">
        <v>1212</v>
      </c>
      <c r="C2124" t="s">
        <v>4619</v>
      </c>
      <c r="D2124" t="s">
        <v>108</v>
      </c>
      <c r="E2124" t="s">
        <v>134</v>
      </c>
      <c r="F2124" t="s">
        <v>4620</v>
      </c>
      <c r="G2124" t="str">
        <f>"00528779"</f>
        <v>00528779</v>
      </c>
      <c r="H2124">
        <v>20.16</v>
      </c>
      <c r="I2124">
        <v>10</v>
      </c>
      <c r="M2124">
        <v>0</v>
      </c>
      <c r="N2124">
        <v>4</v>
      </c>
      <c r="O2124">
        <v>2</v>
      </c>
      <c r="P2124">
        <v>36.159999999999997</v>
      </c>
      <c r="Q2124">
        <v>11</v>
      </c>
      <c r="R2124">
        <v>11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11</v>
      </c>
      <c r="Z2124">
        <v>6</v>
      </c>
      <c r="AA2124">
        <v>0</v>
      </c>
      <c r="AC2124">
        <v>53.16</v>
      </c>
    </row>
    <row r="2125" spans="1:29">
      <c r="A2125">
        <v>2118</v>
      </c>
      <c r="B2125">
        <v>1188</v>
      </c>
      <c r="C2125" t="s">
        <v>4621</v>
      </c>
      <c r="D2125" t="s">
        <v>465</v>
      </c>
      <c r="E2125" t="s">
        <v>60</v>
      </c>
      <c r="F2125" t="s">
        <v>4622</v>
      </c>
      <c r="G2125" t="str">
        <f>"00228933"</f>
        <v>00228933</v>
      </c>
      <c r="H2125">
        <v>40</v>
      </c>
      <c r="I2125">
        <v>0</v>
      </c>
      <c r="M2125">
        <v>0</v>
      </c>
      <c r="N2125">
        <v>4</v>
      </c>
      <c r="O2125">
        <v>0</v>
      </c>
      <c r="P2125">
        <v>44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>
        <v>9</v>
      </c>
      <c r="AA2125">
        <v>0</v>
      </c>
      <c r="AC2125">
        <v>53</v>
      </c>
    </row>
    <row r="2126" spans="1:29">
      <c r="A2126">
        <v>2119</v>
      </c>
      <c r="B2126">
        <v>2677</v>
      </c>
      <c r="C2126" t="s">
        <v>4070</v>
      </c>
      <c r="D2126" t="s">
        <v>95</v>
      </c>
      <c r="E2126" t="s">
        <v>50</v>
      </c>
      <c r="F2126" t="s">
        <v>4623</v>
      </c>
      <c r="G2126" t="str">
        <f>"00082719"</f>
        <v>00082719</v>
      </c>
      <c r="H2126">
        <v>40</v>
      </c>
      <c r="I2126">
        <v>0</v>
      </c>
      <c r="M2126">
        <v>0</v>
      </c>
      <c r="N2126">
        <v>4</v>
      </c>
      <c r="O2126">
        <v>0</v>
      </c>
      <c r="P2126">
        <v>44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v>9</v>
      </c>
      <c r="AA2126">
        <v>0</v>
      </c>
      <c r="AC2126">
        <v>53</v>
      </c>
    </row>
    <row r="2127" spans="1:29">
      <c r="A2127">
        <v>2120</v>
      </c>
      <c r="B2127">
        <v>712</v>
      </c>
      <c r="C2127" t="s">
        <v>4626</v>
      </c>
      <c r="D2127" t="s">
        <v>853</v>
      </c>
      <c r="E2127" t="s">
        <v>4627</v>
      </c>
      <c r="F2127" t="s">
        <v>4628</v>
      </c>
      <c r="G2127" t="str">
        <f>"00137684"</f>
        <v>00137684</v>
      </c>
      <c r="H2127">
        <v>36</v>
      </c>
      <c r="I2127">
        <v>0</v>
      </c>
      <c r="L2127">
        <v>4</v>
      </c>
      <c r="M2127">
        <v>4</v>
      </c>
      <c r="N2127">
        <v>4</v>
      </c>
      <c r="O2127">
        <v>0</v>
      </c>
      <c r="P2127">
        <v>44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9</v>
      </c>
      <c r="AA2127">
        <v>0</v>
      </c>
      <c r="AC2127">
        <v>53</v>
      </c>
    </row>
    <row r="2128" spans="1:29">
      <c r="A2128">
        <v>2121</v>
      </c>
      <c r="B2128">
        <v>1356</v>
      </c>
      <c r="C2128" t="s">
        <v>4624</v>
      </c>
      <c r="D2128" t="s">
        <v>31</v>
      </c>
      <c r="E2128" t="s">
        <v>165</v>
      </c>
      <c r="F2128" t="s">
        <v>4625</v>
      </c>
      <c r="G2128" t="str">
        <f>"00457052"</f>
        <v>00457052</v>
      </c>
      <c r="H2128">
        <v>36</v>
      </c>
      <c r="I2128">
        <v>0</v>
      </c>
      <c r="L2128">
        <v>4</v>
      </c>
      <c r="M2128">
        <v>4</v>
      </c>
      <c r="N2128">
        <v>4</v>
      </c>
      <c r="O2128">
        <v>0</v>
      </c>
      <c r="P2128">
        <v>44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9</v>
      </c>
      <c r="AA2128">
        <v>0</v>
      </c>
      <c r="AC2128">
        <v>53</v>
      </c>
    </row>
    <row r="2129" spans="1:29">
      <c r="A2129">
        <v>2122</v>
      </c>
      <c r="B2129">
        <v>3289</v>
      </c>
      <c r="C2129" t="s">
        <v>4629</v>
      </c>
      <c r="D2129" t="s">
        <v>108</v>
      </c>
      <c r="E2129" t="s">
        <v>79</v>
      </c>
      <c r="F2129" t="s">
        <v>4630</v>
      </c>
      <c r="G2129" t="str">
        <f>"00495992"</f>
        <v>00495992</v>
      </c>
      <c r="H2129">
        <v>16</v>
      </c>
      <c r="I2129">
        <v>10</v>
      </c>
      <c r="L2129">
        <v>4</v>
      </c>
      <c r="M2129">
        <v>4</v>
      </c>
      <c r="N2129">
        <v>4</v>
      </c>
      <c r="O2129">
        <v>2</v>
      </c>
      <c r="P2129">
        <v>36</v>
      </c>
      <c r="Q2129">
        <v>11</v>
      </c>
      <c r="R2129">
        <v>11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11</v>
      </c>
      <c r="Z2129">
        <v>6</v>
      </c>
      <c r="AA2129">
        <v>0</v>
      </c>
      <c r="AC2129">
        <v>53</v>
      </c>
    </row>
    <row r="2130" spans="1:29">
      <c r="A2130">
        <v>2123</v>
      </c>
      <c r="B2130">
        <v>68</v>
      </c>
      <c r="C2130" t="s">
        <v>4631</v>
      </c>
      <c r="D2130" t="s">
        <v>4632</v>
      </c>
      <c r="E2130" t="s">
        <v>436</v>
      </c>
      <c r="F2130" t="s">
        <v>4633</v>
      </c>
      <c r="G2130" t="str">
        <f>"00472342"</f>
        <v>00472342</v>
      </c>
      <c r="H2130">
        <v>40</v>
      </c>
      <c r="I2130">
        <v>0</v>
      </c>
      <c r="L2130">
        <v>4</v>
      </c>
      <c r="M2130">
        <v>4</v>
      </c>
      <c r="N2130">
        <v>4</v>
      </c>
      <c r="O2130">
        <v>2</v>
      </c>
      <c r="P2130">
        <v>50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3</v>
      </c>
      <c r="AA2130">
        <v>0</v>
      </c>
      <c r="AC2130">
        <v>53</v>
      </c>
    </row>
    <row r="2131" spans="1:29">
      <c r="A2131">
        <v>2124</v>
      </c>
      <c r="B2131">
        <v>1044</v>
      </c>
      <c r="C2131" t="s">
        <v>1425</v>
      </c>
      <c r="D2131" t="s">
        <v>2387</v>
      </c>
      <c r="E2131" t="s">
        <v>15</v>
      </c>
      <c r="F2131" t="s">
        <v>4634</v>
      </c>
      <c r="G2131" t="str">
        <f>"200801009600"</f>
        <v>200801009600</v>
      </c>
      <c r="H2131">
        <v>40</v>
      </c>
      <c r="I2131">
        <v>0</v>
      </c>
      <c r="L2131">
        <v>4</v>
      </c>
      <c r="M2131">
        <v>4</v>
      </c>
      <c r="N2131">
        <v>4</v>
      </c>
      <c r="O2131">
        <v>2</v>
      </c>
      <c r="P2131">
        <v>50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3</v>
      </c>
      <c r="AA2131">
        <v>0</v>
      </c>
      <c r="AC2131">
        <v>53</v>
      </c>
    </row>
    <row r="2132" spans="1:29">
      <c r="A2132">
        <v>2125</v>
      </c>
      <c r="B2132">
        <v>4472</v>
      </c>
      <c r="C2132" t="s">
        <v>2713</v>
      </c>
      <c r="D2132" t="s">
        <v>159</v>
      </c>
      <c r="E2132" t="s">
        <v>237</v>
      </c>
      <c r="F2132" t="s">
        <v>4635</v>
      </c>
      <c r="G2132" t="str">
        <f>"00390656"</f>
        <v>00390656</v>
      </c>
      <c r="H2132">
        <v>40</v>
      </c>
      <c r="I2132">
        <v>10</v>
      </c>
      <c r="M2132">
        <v>0</v>
      </c>
      <c r="N2132">
        <v>0</v>
      </c>
      <c r="O2132">
        <v>0</v>
      </c>
      <c r="P2132">
        <v>50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3</v>
      </c>
      <c r="AA2132">
        <v>0</v>
      </c>
      <c r="AC2132">
        <v>53</v>
      </c>
    </row>
    <row r="2133" spans="1:29">
      <c r="A2133">
        <v>2126</v>
      </c>
      <c r="B2133">
        <v>1345</v>
      </c>
      <c r="C2133" t="s">
        <v>4636</v>
      </c>
      <c r="D2133" t="s">
        <v>4637</v>
      </c>
      <c r="E2133" t="s">
        <v>252</v>
      </c>
      <c r="F2133" t="s">
        <v>4638</v>
      </c>
      <c r="G2133" t="str">
        <f>"00612641"</f>
        <v>00612641</v>
      </c>
      <c r="H2133">
        <v>36</v>
      </c>
      <c r="I2133">
        <v>10</v>
      </c>
      <c r="M2133">
        <v>0</v>
      </c>
      <c r="N2133">
        <v>4</v>
      </c>
      <c r="O2133">
        <v>0</v>
      </c>
      <c r="P2133">
        <v>50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3</v>
      </c>
      <c r="AA2133">
        <v>0</v>
      </c>
      <c r="AB2133" t="s">
        <v>128</v>
      </c>
      <c r="AC2133">
        <v>53</v>
      </c>
    </row>
    <row r="2134" spans="1:29">
      <c r="A2134">
        <v>2127</v>
      </c>
      <c r="B2134">
        <v>252</v>
      </c>
      <c r="C2134" t="s">
        <v>4639</v>
      </c>
      <c r="D2134" t="s">
        <v>95</v>
      </c>
      <c r="E2134" t="s">
        <v>482</v>
      </c>
      <c r="F2134" t="s">
        <v>4640</v>
      </c>
      <c r="G2134" t="str">
        <f>"00530751"</f>
        <v>00530751</v>
      </c>
      <c r="H2134">
        <v>20</v>
      </c>
      <c r="I2134">
        <v>10</v>
      </c>
      <c r="M2134">
        <v>0</v>
      </c>
      <c r="N2134">
        <v>4</v>
      </c>
      <c r="O2134">
        <v>2</v>
      </c>
      <c r="P2134">
        <v>36</v>
      </c>
      <c r="Q2134">
        <v>14</v>
      </c>
      <c r="R2134">
        <v>14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14</v>
      </c>
      <c r="Z2134">
        <v>3</v>
      </c>
      <c r="AA2134">
        <v>0</v>
      </c>
      <c r="AC2134">
        <v>53</v>
      </c>
    </row>
    <row r="2135" spans="1:29">
      <c r="A2135">
        <v>2128</v>
      </c>
      <c r="B2135">
        <v>3059</v>
      </c>
      <c r="C2135" t="s">
        <v>4641</v>
      </c>
      <c r="D2135" t="s">
        <v>694</v>
      </c>
      <c r="E2135" t="s">
        <v>79</v>
      </c>
      <c r="F2135" t="s">
        <v>4642</v>
      </c>
      <c r="G2135" t="str">
        <f>"201511004724"</f>
        <v>201511004724</v>
      </c>
      <c r="H2135">
        <v>38.799999999999997</v>
      </c>
      <c r="I2135">
        <v>0</v>
      </c>
      <c r="L2135">
        <v>4</v>
      </c>
      <c r="M2135">
        <v>4</v>
      </c>
      <c r="N2135">
        <v>4</v>
      </c>
      <c r="O2135">
        <v>0</v>
      </c>
      <c r="P2135">
        <v>46.8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6</v>
      </c>
      <c r="AA2135">
        <v>0</v>
      </c>
      <c r="AC2135">
        <v>52.8</v>
      </c>
    </row>
    <row r="2136" spans="1:29">
      <c r="A2136">
        <v>2129</v>
      </c>
      <c r="B2136">
        <v>4013</v>
      </c>
      <c r="C2136" t="s">
        <v>4643</v>
      </c>
      <c r="D2136" t="s">
        <v>95</v>
      </c>
      <c r="E2136" t="s">
        <v>4644</v>
      </c>
      <c r="F2136" t="s">
        <v>4645</v>
      </c>
      <c r="G2136" t="str">
        <f>"00863475"</f>
        <v>00863475</v>
      </c>
      <c r="H2136">
        <v>28.8</v>
      </c>
      <c r="I2136">
        <v>10</v>
      </c>
      <c r="L2136">
        <v>4</v>
      </c>
      <c r="M2136">
        <v>4</v>
      </c>
      <c r="N2136">
        <v>4</v>
      </c>
      <c r="O2136">
        <v>0</v>
      </c>
      <c r="P2136">
        <v>46.8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6</v>
      </c>
      <c r="AA2136">
        <v>0</v>
      </c>
      <c r="AC2136">
        <v>52.8</v>
      </c>
    </row>
    <row r="2137" spans="1:29">
      <c r="A2137">
        <v>2130</v>
      </c>
      <c r="B2137">
        <v>4418</v>
      </c>
      <c r="C2137" t="s">
        <v>4646</v>
      </c>
      <c r="D2137" t="s">
        <v>141</v>
      </c>
      <c r="E2137" t="s">
        <v>66</v>
      </c>
      <c r="F2137" t="s">
        <v>4647</v>
      </c>
      <c r="G2137" t="str">
        <f>"00305303"</f>
        <v>00305303</v>
      </c>
      <c r="H2137">
        <v>28.8</v>
      </c>
      <c r="I2137">
        <v>0</v>
      </c>
      <c r="M2137">
        <v>0</v>
      </c>
      <c r="N2137">
        <v>4</v>
      </c>
      <c r="O2137">
        <v>0</v>
      </c>
      <c r="P2137">
        <v>32.799999999999997</v>
      </c>
      <c r="Q2137">
        <v>14</v>
      </c>
      <c r="R2137">
        <v>14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14</v>
      </c>
      <c r="Z2137">
        <v>6</v>
      </c>
      <c r="AA2137">
        <v>0</v>
      </c>
      <c r="AC2137">
        <v>52.8</v>
      </c>
    </row>
    <row r="2138" spans="1:29">
      <c r="A2138">
        <v>2131</v>
      </c>
      <c r="B2138">
        <v>4465</v>
      </c>
      <c r="C2138" t="s">
        <v>65</v>
      </c>
      <c r="D2138" t="s">
        <v>27</v>
      </c>
      <c r="E2138" t="s">
        <v>889</v>
      </c>
      <c r="F2138" t="s">
        <v>4648</v>
      </c>
      <c r="G2138" t="str">
        <f>"00523676"</f>
        <v>00523676</v>
      </c>
      <c r="H2138">
        <v>28.8</v>
      </c>
      <c r="I2138">
        <v>0</v>
      </c>
      <c r="M2138">
        <v>0</v>
      </c>
      <c r="N2138">
        <v>0</v>
      </c>
      <c r="O2138">
        <v>0</v>
      </c>
      <c r="P2138">
        <v>28.8</v>
      </c>
      <c r="Q2138">
        <v>18</v>
      </c>
      <c r="R2138">
        <v>18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18</v>
      </c>
      <c r="Z2138">
        <v>6</v>
      </c>
      <c r="AA2138">
        <v>0</v>
      </c>
      <c r="AC2138">
        <v>52.8</v>
      </c>
    </row>
    <row r="2139" spans="1:29">
      <c r="A2139">
        <v>2132</v>
      </c>
      <c r="B2139">
        <v>1984</v>
      </c>
      <c r="C2139" t="s">
        <v>4649</v>
      </c>
      <c r="D2139" t="s">
        <v>108</v>
      </c>
      <c r="E2139" t="s">
        <v>36</v>
      </c>
      <c r="F2139" t="s">
        <v>4650</v>
      </c>
      <c r="G2139" t="str">
        <f>"00504904"</f>
        <v>00504904</v>
      </c>
      <c r="H2139">
        <v>30.8</v>
      </c>
      <c r="I2139">
        <v>10</v>
      </c>
      <c r="L2139">
        <v>4</v>
      </c>
      <c r="M2139">
        <v>4</v>
      </c>
      <c r="N2139">
        <v>4</v>
      </c>
      <c r="O2139">
        <v>0</v>
      </c>
      <c r="P2139">
        <v>48.8</v>
      </c>
      <c r="Q2139">
        <v>1</v>
      </c>
      <c r="R2139">
        <v>1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1</v>
      </c>
      <c r="Z2139">
        <v>3</v>
      </c>
      <c r="AA2139">
        <v>0</v>
      </c>
      <c r="AC2139">
        <v>52.8</v>
      </c>
    </row>
    <row r="2140" spans="1:29">
      <c r="A2140">
        <v>2133</v>
      </c>
      <c r="B2140">
        <v>1879</v>
      </c>
      <c r="C2140" t="s">
        <v>4621</v>
      </c>
      <c r="D2140" t="s">
        <v>164</v>
      </c>
      <c r="E2140" t="s">
        <v>36</v>
      </c>
      <c r="F2140" t="s">
        <v>4651</v>
      </c>
      <c r="G2140" t="str">
        <f>"00128579"</f>
        <v>00128579</v>
      </c>
      <c r="H2140">
        <v>36.799999999999997</v>
      </c>
      <c r="I2140">
        <v>0</v>
      </c>
      <c r="K2140">
        <v>6</v>
      </c>
      <c r="L2140">
        <v>4</v>
      </c>
      <c r="M2140">
        <v>10</v>
      </c>
      <c r="N2140">
        <v>4</v>
      </c>
      <c r="O2140">
        <v>2</v>
      </c>
      <c r="P2140">
        <v>52.8</v>
      </c>
      <c r="Q2140">
        <v>0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v>0</v>
      </c>
      <c r="AA2140">
        <v>0</v>
      </c>
      <c r="AC2140">
        <v>52.8</v>
      </c>
    </row>
    <row r="2141" spans="1:29">
      <c r="A2141">
        <v>2134</v>
      </c>
      <c r="B2141">
        <v>2569</v>
      </c>
      <c r="C2141" t="s">
        <v>4652</v>
      </c>
      <c r="D2141" t="s">
        <v>113</v>
      </c>
      <c r="E2141" t="s">
        <v>18</v>
      </c>
      <c r="F2141" t="s">
        <v>4653</v>
      </c>
      <c r="G2141" t="str">
        <f>"00273548"</f>
        <v>00273548</v>
      </c>
      <c r="H2141">
        <v>28.8</v>
      </c>
      <c r="I2141">
        <v>0</v>
      </c>
      <c r="L2141">
        <v>4</v>
      </c>
      <c r="M2141">
        <v>4</v>
      </c>
      <c r="N2141">
        <v>4</v>
      </c>
      <c r="O2141">
        <v>2</v>
      </c>
      <c r="P2141">
        <v>38.799999999999997</v>
      </c>
      <c r="Q2141">
        <v>14</v>
      </c>
      <c r="R2141">
        <v>14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14</v>
      </c>
      <c r="Z2141">
        <v>0</v>
      </c>
      <c r="AA2141">
        <v>0</v>
      </c>
      <c r="AC2141">
        <v>52.8</v>
      </c>
    </row>
    <row r="2142" spans="1:29">
      <c r="A2142">
        <v>2135</v>
      </c>
      <c r="B2142">
        <v>917</v>
      </c>
      <c r="C2142" t="s">
        <v>4654</v>
      </c>
      <c r="D2142" t="s">
        <v>185</v>
      </c>
      <c r="E2142" t="s">
        <v>134</v>
      </c>
      <c r="F2142" t="s">
        <v>4655</v>
      </c>
      <c r="G2142" t="str">
        <f>"201511007254"</f>
        <v>201511007254</v>
      </c>
      <c r="H2142">
        <v>28.8</v>
      </c>
      <c r="I2142">
        <v>10</v>
      </c>
      <c r="M2142">
        <v>0</v>
      </c>
      <c r="N2142">
        <v>0</v>
      </c>
      <c r="O2142">
        <v>0</v>
      </c>
      <c r="P2142">
        <v>38.799999999999997</v>
      </c>
      <c r="Q2142">
        <v>14</v>
      </c>
      <c r="R2142">
        <v>14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14</v>
      </c>
      <c r="Z2142">
        <v>0</v>
      </c>
      <c r="AA2142">
        <v>0</v>
      </c>
      <c r="AC2142">
        <v>52.8</v>
      </c>
    </row>
    <row r="2143" spans="1:29">
      <c r="A2143">
        <v>2136</v>
      </c>
      <c r="B2143">
        <v>3847</v>
      </c>
      <c r="C2143" t="s">
        <v>4656</v>
      </c>
      <c r="D2143" t="s">
        <v>787</v>
      </c>
      <c r="E2143" t="s">
        <v>15</v>
      </c>
      <c r="F2143" t="s">
        <v>4657</v>
      </c>
      <c r="G2143" t="str">
        <f>"00529811"</f>
        <v>00529811</v>
      </c>
      <c r="H2143">
        <v>28.8</v>
      </c>
      <c r="I2143">
        <v>0</v>
      </c>
      <c r="M2143">
        <v>0</v>
      </c>
      <c r="N2143">
        <v>4</v>
      </c>
      <c r="O2143">
        <v>2</v>
      </c>
      <c r="P2143">
        <v>34.799999999999997</v>
      </c>
      <c r="Q2143">
        <v>18</v>
      </c>
      <c r="R2143">
        <v>18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18</v>
      </c>
      <c r="Z2143">
        <v>0</v>
      </c>
      <c r="AA2143">
        <v>0</v>
      </c>
      <c r="AC2143">
        <v>52.8</v>
      </c>
    </row>
    <row r="2144" spans="1:29">
      <c r="A2144">
        <v>2137</v>
      </c>
      <c r="B2144">
        <v>4318</v>
      </c>
      <c r="C2144" t="s">
        <v>3605</v>
      </c>
      <c r="D2144" t="s">
        <v>4660</v>
      </c>
      <c r="E2144" t="s">
        <v>227</v>
      </c>
      <c r="F2144" t="s">
        <v>4661</v>
      </c>
      <c r="G2144" t="str">
        <f>"00441798"</f>
        <v>00441798</v>
      </c>
      <c r="H2144">
        <v>28.8</v>
      </c>
      <c r="I2144">
        <v>0</v>
      </c>
      <c r="L2144">
        <v>4</v>
      </c>
      <c r="M2144">
        <v>4</v>
      </c>
      <c r="N2144">
        <v>0</v>
      </c>
      <c r="O2144">
        <v>2</v>
      </c>
      <c r="P2144">
        <v>34.799999999999997</v>
      </c>
      <c r="Q2144">
        <v>18</v>
      </c>
      <c r="R2144">
        <v>18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18</v>
      </c>
      <c r="Z2144">
        <v>0</v>
      </c>
      <c r="AA2144">
        <v>0</v>
      </c>
      <c r="AC2144">
        <v>52.8</v>
      </c>
    </row>
    <row r="2145" spans="1:29">
      <c r="A2145">
        <v>2138</v>
      </c>
      <c r="B2145">
        <v>2928</v>
      </c>
      <c r="C2145" t="s">
        <v>4658</v>
      </c>
      <c r="D2145" t="s">
        <v>739</v>
      </c>
      <c r="E2145" t="s">
        <v>2230</v>
      </c>
      <c r="F2145" t="s">
        <v>4659</v>
      </c>
      <c r="G2145" t="str">
        <f>"00476290"</f>
        <v>00476290</v>
      </c>
      <c r="H2145">
        <v>28.8</v>
      </c>
      <c r="I2145">
        <v>0</v>
      </c>
      <c r="M2145">
        <v>0</v>
      </c>
      <c r="N2145">
        <v>4</v>
      </c>
      <c r="O2145">
        <v>2</v>
      </c>
      <c r="P2145">
        <v>34.799999999999997</v>
      </c>
      <c r="Q2145">
        <v>18</v>
      </c>
      <c r="R2145">
        <v>18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18</v>
      </c>
      <c r="Z2145">
        <v>0</v>
      </c>
      <c r="AA2145">
        <v>0</v>
      </c>
      <c r="AC2145">
        <v>52.8</v>
      </c>
    </row>
    <row r="2146" spans="1:29">
      <c r="A2146">
        <v>2139</v>
      </c>
      <c r="B2146">
        <v>4643</v>
      </c>
      <c r="C2146" t="s">
        <v>4662</v>
      </c>
      <c r="D2146" t="s">
        <v>4663</v>
      </c>
      <c r="E2146" t="s">
        <v>187</v>
      </c>
      <c r="F2146" t="s">
        <v>4664</v>
      </c>
      <c r="G2146" t="str">
        <f>"00533678"</f>
        <v>00533678</v>
      </c>
      <c r="H2146">
        <v>8.8000000000000007</v>
      </c>
      <c r="I2146">
        <v>0</v>
      </c>
      <c r="M2146">
        <v>0</v>
      </c>
      <c r="N2146">
        <v>0</v>
      </c>
      <c r="O2146">
        <v>0</v>
      </c>
      <c r="P2146">
        <v>8.8000000000000007</v>
      </c>
      <c r="Q2146">
        <v>44</v>
      </c>
      <c r="R2146">
        <v>44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44</v>
      </c>
      <c r="Z2146">
        <v>0</v>
      </c>
      <c r="AA2146">
        <v>0</v>
      </c>
      <c r="AC2146">
        <v>52.8</v>
      </c>
    </row>
    <row r="2147" spans="1:29">
      <c r="A2147">
        <v>2140</v>
      </c>
      <c r="B2147">
        <v>2460</v>
      </c>
      <c r="C2147" t="s">
        <v>1425</v>
      </c>
      <c r="D2147" t="s">
        <v>374</v>
      </c>
      <c r="E2147" t="s">
        <v>12</v>
      </c>
      <c r="F2147" t="s">
        <v>4665</v>
      </c>
      <c r="G2147" t="str">
        <f>"00030531"</f>
        <v>00030531</v>
      </c>
      <c r="H2147">
        <v>39.72</v>
      </c>
      <c r="I2147">
        <v>0</v>
      </c>
      <c r="M2147">
        <v>0</v>
      </c>
      <c r="N2147">
        <v>4</v>
      </c>
      <c r="O2147">
        <v>0</v>
      </c>
      <c r="P2147">
        <v>43.72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v>9</v>
      </c>
      <c r="AA2147">
        <v>0</v>
      </c>
      <c r="AC2147">
        <v>52.72</v>
      </c>
    </row>
    <row r="2148" spans="1:29">
      <c r="A2148">
        <v>2141</v>
      </c>
      <c r="B2148">
        <v>1853</v>
      </c>
      <c r="C2148" t="s">
        <v>4666</v>
      </c>
      <c r="D2148" t="s">
        <v>544</v>
      </c>
      <c r="E2148" t="s">
        <v>4667</v>
      </c>
      <c r="F2148" t="s">
        <v>4668</v>
      </c>
      <c r="G2148" t="str">
        <f>"00004270"</f>
        <v>00004270</v>
      </c>
      <c r="H2148">
        <v>20.72</v>
      </c>
      <c r="I2148">
        <v>0</v>
      </c>
      <c r="M2148">
        <v>0</v>
      </c>
      <c r="N2148">
        <v>4</v>
      </c>
      <c r="O2148">
        <v>2</v>
      </c>
      <c r="P2148">
        <v>26.72</v>
      </c>
      <c r="Q2148">
        <v>26</v>
      </c>
      <c r="R2148">
        <v>26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26</v>
      </c>
      <c r="Z2148">
        <v>0</v>
      </c>
      <c r="AA2148">
        <v>0</v>
      </c>
      <c r="AC2148">
        <v>52.72</v>
      </c>
    </row>
    <row r="2149" spans="1:29">
      <c r="A2149">
        <v>2142</v>
      </c>
      <c r="B2149">
        <v>947</v>
      </c>
      <c r="C2149" t="s">
        <v>4669</v>
      </c>
      <c r="D2149" t="s">
        <v>130</v>
      </c>
      <c r="E2149" t="s">
        <v>134</v>
      </c>
      <c r="F2149" t="s">
        <v>4670</v>
      </c>
      <c r="G2149" t="str">
        <f>"00161828"</f>
        <v>00161828</v>
      </c>
      <c r="H2149">
        <v>29.64</v>
      </c>
      <c r="I2149">
        <v>10</v>
      </c>
      <c r="M2149">
        <v>0</v>
      </c>
      <c r="N2149">
        <v>0</v>
      </c>
      <c r="O2149">
        <v>0</v>
      </c>
      <c r="P2149">
        <v>39.64</v>
      </c>
      <c r="Q2149">
        <v>13</v>
      </c>
      <c r="R2149">
        <v>13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13</v>
      </c>
      <c r="Z2149">
        <v>0</v>
      </c>
      <c r="AA2149">
        <v>0</v>
      </c>
      <c r="AC2149">
        <v>52.64</v>
      </c>
    </row>
    <row r="2150" spans="1:29">
      <c r="A2150">
        <v>2143</v>
      </c>
      <c r="B2150">
        <v>2425</v>
      </c>
      <c r="C2150" t="s">
        <v>2241</v>
      </c>
      <c r="D2150" t="s">
        <v>1138</v>
      </c>
      <c r="E2150" t="s">
        <v>15</v>
      </c>
      <c r="F2150" t="s">
        <v>4671</v>
      </c>
      <c r="G2150" t="str">
        <f>"00856380"</f>
        <v>00856380</v>
      </c>
      <c r="H2150">
        <v>33.6</v>
      </c>
      <c r="I2150">
        <v>0</v>
      </c>
      <c r="L2150">
        <v>4</v>
      </c>
      <c r="M2150">
        <v>4</v>
      </c>
      <c r="N2150">
        <v>4</v>
      </c>
      <c r="O2150">
        <v>2</v>
      </c>
      <c r="P2150">
        <v>43.6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0</v>
      </c>
      <c r="Z2150">
        <v>9</v>
      </c>
      <c r="AA2150">
        <v>0</v>
      </c>
      <c r="AC2150">
        <v>52.6</v>
      </c>
    </row>
    <row r="2151" spans="1:29">
      <c r="A2151">
        <v>2144</v>
      </c>
      <c r="B2151">
        <v>4837</v>
      </c>
      <c r="C2151" t="s">
        <v>4672</v>
      </c>
      <c r="D2151" t="s">
        <v>164</v>
      </c>
      <c r="E2151" t="s">
        <v>796</v>
      </c>
      <c r="F2151" t="s">
        <v>4673</v>
      </c>
      <c r="G2151" t="str">
        <f>"00243971"</f>
        <v>00243971</v>
      </c>
      <c r="H2151">
        <v>39.6</v>
      </c>
      <c r="I2151">
        <v>0</v>
      </c>
      <c r="L2151">
        <v>4</v>
      </c>
      <c r="M2151">
        <v>4</v>
      </c>
      <c r="N2151">
        <v>4</v>
      </c>
      <c r="O2151">
        <v>2</v>
      </c>
      <c r="P2151">
        <v>49.6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3</v>
      </c>
      <c r="AA2151">
        <v>0</v>
      </c>
      <c r="AC2151">
        <v>52.6</v>
      </c>
    </row>
    <row r="2152" spans="1:29">
      <c r="A2152">
        <v>2145</v>
      </c>
      <c r="B2152">
        <v>4667</v>
      </c>
      <c r="C2152" t="s">
        <v>783</v>
      </c>
      <c r="D2152" t="s">
        <v>98</v>
      </c>
      <c r="E2152" t="s">
        <v>134</v>
      </c>
      <c r="F2152" t="s">
        <v>4674</v>
      </c>
      <c r="G2152" t="str">
        <f>"00629846"</f>
        <v>00629846</v>
      </c>
      <c r="H2152">
        <v>35.6</v>
      </c>
      <c r="I2152">
        <v>0</v>
      </c>
      <c r="J2152">
        <v>8</v>
      </c>
      <c r="M2152">
        <v>8</v>
      </c>
      <c r="N2152">
        <v>4</v>
      </c>
      <c r="O2152">
        <v>2</v>
      </c>
      <c r="P2152">
        <v>49.6</v>
      </c>
      <c r="Q2152">
        <v>0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0</v>
      </c>
      <c r="Z2152">
        <v>3</v>
      </c>
      <c r="AA2152">
        <v>0</v>
      </c>
      <c r="AC2152">
        <v>52.6</v>
      </c>
    </row>
    <row r="2153" spans="1:29">
      <c r="A2153">
        <v>2146</v>
      </c>
      <c r="B2153">
        <v>2924</v>
      </c>
      <c r="C2153" t="s">
        <v>4675</v>
      </c>
      <c r="D2153" t="s">
        <v>269</v>
      </c>
      <c r="E2153" t="s">
        <v>4676</v>
      </c>
      <c r="F2153" t="s">
        <v>4677</v>
      </c>
      <c r="G2153" t="str">
        <f>"00531181"</f>
        <v>00531181</v>
      </c>
      <c r="H2153">
        <v>21.6</v>
      </c>
      <c r="I2153">
        <v>0</v>
      </c>
      <c r="M2153">
        <v>0</v>
      </c>
      <c r="N2153">
        <v>0</v>
      </c>
      <c r="O2153">
        <v>0</v>
      </c>
      <c r="P2153">
        <v>21.6</v>
      </c>
      <c r="Q2153">
        <v>28</v>
      </c>
      <c r="R2153">
        <v>28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28</v>
      </c>
      <c r="Z2153">
        <v>3</v>
      </c>
      <c r="AA2153">
        <v>0</v>
      </c>
      <c r="AC2153">
        <v>52.6</v>
      </c>
    </row>
    <row r="2154" spans="1:29">
      <c r="A2154">
        <v>2147</v>
      </c>
      <c r="B2154">
        <v>2835</v>
      </c>
      <c r="C2154" t="s">
        <v>4678</v>
      </c>
      <c r="D2154" t="s">
        <v>248</v>
      </c>
      <c r="E2154" t="s">
        <v>89</v>
      </c>
      <c r="F2154" t="s">
        <v>4679</v>
      </c>
      <c r="G2154" t="str">
        <f>"00496382"</f>
        <v>00496382</v>
      </c>
      <c r="H2154">
        <v>21.6</v>
      </c>
      <c r="I2154">
        <v>10</v>
      </c>
      <c r="M2154">
        <v>0</v>
      </c>
      <c r="N2154">
        <v>4</v>
      </c>
      <c r="O2154">
        <v>2</v>
      </c>
      <c r="P2154">
        <v>37.6</v>
      </c>
      <c r="Q2154">
        <v>15</v>
      </c>
      <c r="R2154">
        <v>15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15</v>
      </c>
      <c r="Z2154">
        <v>0</v>
      </c>
      <c r="AA2154">
        <v>0</v>
      </c>
      <c r="AC2154">
        <v>52.6</v>
      </c>
    </row>
    <row r="2155" spans="1:29">
      <c r="A2155">
        <v>2148</v>
      </c>
      <c r="B2155">
        <v>3605</v>
      </c>
      <c r="C2155" t="s">
        <v>4680</v>
      </c>
      <c r="D2155" t="s">
        <v>4681</v>
      </c>
      <c r="E2155" t="s">
        <v>134</v>
      </c>
      <c r="F2155" t="s">
        <v>4682</v>
      </c>
      <c r="G2155" t="str">
        <f>"201511008400"</f>
        <v>201511008400</v>
      </c>
      <c r="H2155">
        <v>21.6</v>
      </c>
      <c r="I2155">
        <v>0</v>
      </c>
      <c r="J2155">
        <v>8</v>
      </c>
      <c r="M2155">
        <v>8</v>
      </c>
      <c r="N2155">
        <v>4</v>
      </c>
      <c r="O2155">
        <v>2</v>
      </c>
      <c r="P2155">
        <v>35.6</v>
      </c>
      <c r="Q2155">
        <v>17</v>
      </c>
      <c r="R2155">
        <v>17</v>
      </c>
      <c r="S2155">
        <v>0</v>
      </c>
      <c r="T2155">
        <v>0</v>
      </c>
      <c r="U2155">
        <v>0</v>
      </c>
      <c r="V2155">
        <v>0</v>
      </c>
      <c r="W2155">
        <v>0</v>
      </c>
      <c r="X2155">
        <v>0</v>
      </c>
      <c r="Y2155">
        <v>17</v>
      </c>
      <c r="Z2155">
        <v>0</v>
      </c>
      <c r="AA2155">
        <v>0</v>
      </c>
      <c r="AC2155">
        <v>52.6</v>
      </c>
    </row>
    <row r="2156" spans="1:29">
      <c r="A2156">
        <v>2149</v>
      </c>
      <c r="B2156">
        <v>4278</v>
      </c>
      <c r="C2156" t="s">
        <v>4683</v>
      </c>
      <c r="D2156" t="s">
        <v>52</v>
      </c>
      <c r="E2156" t="s">
        <v>53</v>
      </c>
      <c r="F2156" t="s">
        <v>4684</v>
      </c>
      <c r="G2156" t="str">
        <f>"00161620"</f>
        <v>00161620</v>
      </c>
      <c r="H2156">
        <v>38.56</v>
      </c>
      <c r="I2156">
        <v>0</v>
      </c>
      <c r="L2156">
        <v>4</v>
      </c>
      <c r="M2156">
        <v>4</v>
      </c>
      <c r="N2156">
        <v>4</v>
      </c>
      <c r="O2156">
        <v>0</v>
      </c>
      <c r="P2156">
        <v>46.56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v>6</v>
      </c>
      <c r="AA2156">
        <v>0</v>
      </c>
      <c r="AC2156">
        <v>52.56</v>
      </c>
    </row>
    <row r="2157" spans="1:29">
      <c r="A2157">
        <v>2150</v>
      </c>
      <c r="B2157">
        <v>4457</v>
      </c>
      <c r="C2157" t="s">
        <v>3022</v>
      </c>
      <c r="D2157" t="s">
        <v>170</v>
      </c>
      <c r="E2157" t="s">
        <v>66</v>
      </c>
      <c r="F2157" t="s">
        <v>4685</v>
      </c>
      <c r="G2157" t="str">
        <f>"00083864"</f>
        <v>00083864</v>
      </c>
      <c r="H2157">
        <v>39.520000000000003</v>
      </c>
      <c r="I2157">
        <v>0</v>
      </c>
      <c r="M2157">
        <v>0</v>
      </c>
      <c r="N2157">
        <v>4</v>
      </c>
      <c r="O2157">
        <v>0</v>
      </c>
      <c r="P2157">
        <v>43.52</v>
      </c>
      <c r="Q2157">
        <v>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0</v>
      </c>
      <c r="Z2157">
        <v>9</v>
      </c>
      <c r="AA2157">
        <v>0</v>
      </c>
      <c r="AC2157">
        <v>52.52</v>
      </c>
    </row>
    <row r="2158" spans="1:29">
      <c r="A2158">
        <v>2151</v>
      </c>
      <c r="B2158">
        <v>890</v>
      </c>
      <c r="C2158" t="s">
        <v>4686</v>
      </c>
      <c r="D2158" t="s">
        <v>820</v>
      </c>
      <c r="E2158" t="s">
        <v>15</v>
      </c>
      <c r="F2158" t="s">
        <v>4687</v>
      </c>
      <c r="G2158" t="str">
        <f>"00532783"</f>
        <v>00532783</v>
      </c>
      <c r="H2158">
        <v>36.520000000000003</v>
      </c>
      <c r="I2158">
        <v>0</v>
      </c>
      <c r="L2158">
        <v>4</v>
      </c>
      <c r="M2158">
        <v>4</v>
      </c>
      <c r="N2158">
        <v>4</v>
      </c>
      <c r="O2158">
        <v>2</v>
      </c>
      <c r="P2158">
        <v>46.52</v>
      </c>
      <c r="Q2158">
        <v>0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6</v>
      </c>
      <c r="AA2158">
        <v>0</v>
      </c>
      <c r="AC2158">
        <v>52.52</v>
      </c>
    </row>
    <row r="2159" spans="1:29">
      <c r="A2159">
        <v>2152</v>
      </c>
      <c r="B2159">
        <v>4920</v>
      </c>
      <c r="C2159" t="s">
        <v>1751</v>
      </c>
      <c r="D2159" t="s">
        <v>832</v>
      </c>
      <c r="E2159" t="s">
        <v>15</v>
      </c>
      <c r="F2159" t="s">
        <v>4688</v>
      </c>
      <c r="G2159" t="str">
        <f>"00561327"</f>
        <v>00561327</v>
      </c>
      <c r="H2159">
        <v>33.44</v>
      </c>
      <c r="I2159">
        <v>10</v>
      </c>
      <c r="M2159">
        <v>0</v>
      </c>
      <c r="N2159">
        <v>0</v>
      </c>
      <c r="O2159">
        <v>0</v>
      </c>
      <c r="P2159">
        <v>43.44</v>
      </c>
      <c r="Q2159">
        <v>0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0</v>
      </c>
      <c r="Z2159">
        <v>9</v>
      </c>
      <c r="AA2159">
        <v>0</v>
      </c>
      <c r="AC2159">
        <v>52.44</v>
      </c>
    </row>
    <row r="2160" spans="1:29">
      <c r="A2160">
        <v>2153</v>
      </c>
      <c r="B2160">
        <v>4748</v>
      </c>
      <c r="C2160" t="s">
        <v>4689</v>
      </c>
      <c r="D2160" t="s">
        <v>95</v>
      </c>
      <c r="E2160" t="s">
        <v>89</v>
      </c>
      <c r="F2160" t="s">
        <v>4690</v>
      </c>
      <c r="G2160" t="str">
        <f>"00193748"</f>
        <v>00193748</v>
      </c>
      <c r="H2160">
        <v>38.4</v>
      </c>
      <c r="I2160">
        <v>0</v>
      </c>
      <c r="L2160">
        <v>4</v>
      </c>
      <c r="M2160">
        <v>4</v>
      </c>
      <c r="N2160">
        <v>4</v>
      </c>
      <c r="O2160">
        <v>0</v>
      </c>
      <c r="P2160">
        <v>46.4</v>
      </c>
      <c r="Q2160">
        <v>0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0</v>
      </c>
      <c r="Y2160">
        <v>0</v>
      </c>
      <c r="Z2160">
        <v>6</v>
      </c>
      <c r="AA2160">
        <v>0</v>
      </c>
      <c r="AC2160">
        <v>52.4</v>
      </c>
    </row>
    <row r="2161" spans="1:29">
      <c r="A2161">
        <v>2154</v>
      </c>
      <c r="B2161">
        <v>3669</v>
      </c>
      <c r="C2161" t="s">
        <v>4691</v>
      </c>
      <c r="D2161" t="s">
        <v>4692</v>
      </c>
      <c r="E2161" t="s">
        <v>79</v>
      </c>
      <c r="F2161" t="s">
        <v>4693</v>
      </c>
      <c r="G2161" t="str">
        <f>"00854600"</f>
        <v>00854600</v>
      </c>
      <c r="H2161">
        <v>50.4</v>
      </c>
      <c r="I2161">
        <v>0</v>
      </c>
      <c r="M2161">
        <v>0</v>
      </c>
      <c r="N2161">
        <v>0</v>
      </c>
      <c r="O2161">
        <v>2</v>
      </c>
      <c r="P2161">
        <v>52.4</v>
      </c>
      <c r="Q2161">
        <v>0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0</v>
      </c>
      <c r="Z2161">
        <v>0</v>
      </c>
      <c r="AA2161">
        <v>0</v>
      </c>
      <c r="AC2161">
        <v>52.4</v>
      </c>
    </row>
    <row r="2162" spans="1:29">
      <c r="A2162">
        <v>2155</v>
      </c>
      <c r="B2162">
        <v>563</v>
      </c>
      <c r="C2162" t="s">
        <v>4694</v>
      </c>
      <c r="D2162" t="s">
        <v>52</v>
      </c>
      <c r="E2162" t="s">
        <v>967</v>
      </c>
      <c r="F2162" t="s">
        <v>4695</v>
      </c>
      <c r="G2162" t="str">
        <f>"00857820"</f>
        <v>00857820</v>
      </c>
      <c r="H2162">
        <v>50.4</v>
      </c>
      <c r="I2162">
        <v>0</v>
      </c>
      <c r="M2162">
        <v>0</v>
      </c>
      <c r="N2162">
        <v>0</v>
      </c>
      <c r="O2162">
        <v>2</v>
      </c>
      <c r="P2162">
        <v>52.4</v>
      </c>
      <c r="Q2162">
        <v>0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0</v>
      </c>
      <c r="Y2162">
        <v>0</v>
      </c>
      <c r="Z2162">
        <v>0</v>
      </c>
      <c r="AA2162">
        <v>0</v>
      </c>
      <c r="AC2162">
        <v>52.4</v>
      </c>
    </row>
    <row r="2163" spans="1:29">
      <c r="A2163">
        <v>2156</v>
      </c>
      <c r="B2163">
        <v>3734</v>
      </c>
      <c r="C2163" t="s">
        <v>3392</v>
      </c>
      <c r="D2163" t="s">
        <v>1744</v>
      </c>
      <c r="E2163" t="s">
        <v>18</v>
      </c>
      <c r="F2163" t="s">
        <v>4699</v>
      </c>
      <c r="G2163" t="str">
        <f>"00589230"</f>
        <v>00589230</v>
      </c>
      <c r="H2163">
        <v>38.4</v>
      </c>
      <c r="I2163">
        <v>0</v>
      </c>
      <c r="J2163">
        <v>8</v>
      </c>
      <c r="M2163">
        <v>8</v>
      </c>
      <c r="N2163">
        <v>4</v>
      </c>
      <c r="O2163">
        <v>2</v>
      </c>
      <c r="P2163">
        <v>52.4</v>
      </c>
      <c r="Q2163">
        <v>0</v>
      </c>
      <c r="R2163">
        <v>0</v>
      </c>
      <c r="S2163">
        <v>0</v>
      </c>
      <c r="T2163">
        <v>0</v>
      </c>
      <c r="U2163">
        <v>0</v>
      </c>
      <c r="V2163">
        <v>0</v>
      </c>
      <c r="W2163">
        <v>0</v>
      </c>
      <c r="X2163">
        <v>0</v>
      </c>
      <c r="Y2163">
        <v>0</v>
      </c>
      <c r="Z2163">
        <v>0</v>
      </c>
      <c r="AA2163">
        <v>0</v>
      </c>
      <c r="AC2163">
        <v>52.4</v>
      </c>
    </row>
    <row r="2164" spans="1:29">
      <c r="A2164">
        <v>2157</v>
      </c>
      <c r="B2164">
        <v>4411</v>
      </c>
      <c r="C2164" t="s">
        <v>4697</v>
      </c>
      <c r="D2164" t="s">
        <v>210</v>
      </c>
      <c r="E2164" t="s">
        <v>190</v>
      </c>
      <c r="F2164" t="s">
        <v>4698</v>
      </c>
      <c r="G2164" t="str">
        <f>"00091611"</f>
        <v>00091611</v>
      </c>
      <c r="H2164">
        <v>38.4</v>
      </c>
      <c r="I2164">
        <v>10</v>
      </c>
      <c r="M2164">
        <v>0</v>
      </c>
      <c r="N2164">
        <v>4</v>
      </c>
      <c r="O2164">
        <v>0</v>
      </c>
      <c r="P2164">
        <v>52.4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v>0</v>
      </c>
      <c r="AA2164">
        <v>0</v>
      </c>
      <c r="AC2164">
        <v>52.4</v>
      </c>
    </row>
    <row r="2165" spans="1:29">
      <c r="A2165">
        <v>2158</v>
      </c>
      <c r="B2165">
        <v>4385</v>
      </c>
      <c r="C2165" t="s">
        <v>178</v>
      </c>
      <c r="D2165" t="s">
        <v>349</v>
      </c>
      <c r="E2165" t="s">
        <v>36</v>
      </c>
      <c r="F2165" t="s">
        <v>4696</v>
      </c>
      <c r="G2165" t="str">
        <f>"201510000135"</f>
        <v>201510000135</v>
      </c>
      <c r="H2165">
        <v>38.4</v>
      </c>
      <c r="I2165">
        <v>10</v>
      </c>
      <c r="M2165">
        <v>0</v>
      </c>
      <c r="N2165">
        <v>4</v>
      </c>
      <c r="O2165">
        <v>0</v>
      </c>
      <c r="P2165">
        <v>52.4</v>
      </c>
      <c r="Q2165">
        <v>0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0</v>
      </c>
      <c r="Z2165">
        <v>0</v>
      </c>
      <c r="AA2165">
        <v>0</v>
      </c>
      <c r="AC2165">
        <v>52.4</v>
      </c>
    </row>
    <row r="2166" spans="1:29">
      <c r="A2166">
        <v>2159</v>
      </c>
      <c r="B2166">
        <v>2905</v>
      </c>
      <c r="C2166" t="s">
        <v>4700</v>
      </c>
      <c r="D2166" t="s">
        <v>175</v>
      </c>
      <c r="E2166" t="s">
        <v>53</v>
      </c>
      <c r="F2166" t="s">
        <v>4701</v>
      </c>
      <c r="G2166" t="str">
        <f>"201511008376"</f>
        <v>201511008376</v>
      </c>
      <c r="H2166">
        <v>36.4</v>
      </c>
      <c r="I2166">
        <v>10</v>
      </c>
      <c r="M2166">
        <v>0</v>
      </c>
      <c r="N2166">
        <v>4</v>
      </c>
      <c r="O2166">
        <v>2</v>
      </c>
      <c r="P2166">
        <v>52.4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  <c r="AC2166">
        <v>52.4</v>
      </c>
    </row>
    <row r="2167" spans="1:29">
      <c r="A2167">
        <v>2160</v>
      </c>
      <c r="B2167">
        <v>719</v>
      </c>
      <c r="C2167" t="s">
        <v>4702</v>
      </c>
      <c r="D2167" t="s">
        <v>853</v>
      </c>
      <c r="E2167" t="s">
        <v>15</v>
      </c>
      <c r="F2167" t="s">
        <v>4703</v>
      </c>
      <c r="G2167" t="str">
        <f>"00323417"</f>
        <v>00323417</v>
      </c>
      <c r="H2167">
        <v>28.36</v>
      </c>
      <c r="I2167">
        <v>0</v>
      </c>
      <c r="M2167">
        <v>0</v>
      </c>
      <c r="N2167">
        <v>4</v>
      </c>
      <c r="O2167">
        <v>0</v>
      </c>
      <c r="P2167">
        <v>32.36</v>
      </c>
      <c r="Q2167">
        <v>17</v>
      </c>
      <c r="R2167">
        <v>17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17</v>
      </c>
      <c r="Z2167">
        <v>3</v>
      </c>
      <c r="AA2167">
        <v>0</v>
      </c>
      <c r="AC2167">
        <v>52.36</v>
      </c>
    </row>
    <row r="2168" spans="1:29">
      <c r="A2168">
        <v>2161</v>
      </c>
      <c r="B2168">
        <v>1906</v>
      </c>
      <c r="C2168" t="s">
        <v>4704</v>
      </c>
      <c r="D2168" t="s">
        <v>832</v>
      </c>
      <c r="E2168" t="s">
        <v>4705</v>
      </c>
      <c r="F2168" t="s">
        <v>4706</v>
      </c>
      <c r="G2168" t="str">
        <f>"00865545"</f>
        <v>00865545</v>
      </c>
      <c r="H2168">
        <v>39.28</v>
      </c>
      <c r="I2168">
        <v>0</v>
      </c>
      <c r="M2168">
        <v>0</v>
      </c>
      <c r="N2168">
        <v>4</v>
      </c>
      <c r="O2168">
        <v>0</v>
      </c>
      <c r="P2168">
        <v>43.28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v>9</v>
      </c>
      <c r="AA2168">
        <v>0</v>
      </c>
      <c r="AC2168">
        <v>52.28</v>
      </c>
    </row>
    <row r="2169" spans="1:29">
      <c r="A2169">
        <v>2162</v>
      </c>
      <c r="B2169">
        <v>4882</v>
      </c>
      <c r="C2169" t="s">
        <v>4707</v>
      </c>
      <c r="D2169" t="s">
        <v>1187</v>
      </c>
      <c r="E2169" t="s">
        <v>18</v>
      </c>
      <c r="F2169" t="s">
        <v>4708</v>
      </c>
      <c r="G2169" t="str">
        <f>"00554278"</f>
        <v>00554278</v>
      </c>
      <c r="H2169">
        <v>38.24</v>
      </c>
      <c r="I2169">
        <v>0</v>
      </c>
      <c r="L2169">
        <v>4</v>
      </c>
      <c r="M2169">
        <v>4</v>
      </c>
      <c r="N2169">
        <v>4</v>
      </c>
      <c r="O2169">
        <v>0</v>
      </c>
      <c r="P2169">
        <v>46.24</v>
      </c>
      <c r="Q2169">
        <v>0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0</v>
      </c>
      <c r="Z2169">
        <v>6</v>
      </c>
      <c r="AA2169">
        <v>0</v>
      </c>
      <c r="AC2169">
        <v>52.24</v>
      </c>
    </row>
    <row r="2170" spans="1:29">
      <c r="A2170">
        <v>2163</v>
      </c>
      <c r="B2170">
        <v>2574</v>
      </c>
      <c r="C2170" t="s">
        <v>4711</v>
      </c>
      <c r="D2170" t="s">
        <v>86</v>
      </c>
      <c r="E2170" t="s">
        <v>134</v>
      </c>
      <c r="F2170" t="s">
        <v>4712</v>
      </c>
      <c r="G2170" t="str">
        <f>"00856246"</f>
        <v>00856246</v>
      </c>
      <c r="H2170">
        <v>43.2</v>
      </c>
      <c r="I2170">
        <v>0</v>
      </c>
      <c r="M2170">
        <v>0</v>
      </c>
      <c r="N2170">
        <v>4</v>
      </c>
      <c r="O2170">
        <v>2</v>
      </c>
      <c r="P2170">
        <v>49.2</v>
      </c>
      <c r="Q2170">
        <v>0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v>3</v>
      </c>
      <c r="AA2170">
        <v>0</v>
      </c>
      <c r="AC2170">
        <v>52.2</v>
      </c>
    </row>
    <row r="2171" spans="1:29">
      <c r="A2171">
        <v>2164</v>
      </c>
      <c r="B2171">
        <v>2081</v>
      </c>
      <c r="C2171" t="s">
        <v>4709</v>
      </c>
      <c r="D2171" t="s">
        <v>276</v>
      </c>
      <c r="E2171" t="s">
        <v>889</v>
      </c>
      <c r="F2171" t="s">
        <v>4710</v>
      </c>
      <c r="G2171" t="str">
        <f>"00497278"</f>
        <v>00497278</v>
      </c>
      <c r="H2171">
        <v>43.2</v>
      </c>
      <c r="I2171">
        <v>0</v>
      </c>
      <c r="M2171">
        <v>0</v>
      </c>
      <c r="N2171">
        <v>4</v>
      </c>
      <c r="O2171">
        <v>2</v>
      </c>
      <c r="P2171">
        <v>49.2</v>
      </c>
      <c r="Q2171">
        <v>0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0</v>
      </c>
      <c r="Z2171">
        <v>3</v>
      </c>
      <c r="AA2171">
        <v>0</v>
      </c>
      <c r="AC2171">
        <v>52.2</v>
      </c>
    </row>
    <row r="2172" spans="1:29">
      <c r="A2172">
        <v>2165</v>
      </c>
      <c r="B2172">
        <v>4925</v>
      </c>
      <c r="C2172" t="s">
        <v>3732</v>
      </c>
      <c r="D2172" t="s">
        <v>159</v>
      </c>
      <c r="E2172" t="s">
        <v>18</v>
      </c>
      <c r="F2172" t="s">
        <v>4714</v>
      </c>
      <c r="G2172" t="str">
        <f>"00532093"</f>
        <v>00532093</v>
      </c>
      <c r="H2172">
        <v>43.2</v>
      </c>
      <c r="I2172">
        <v>0</v>
      </c>
      <c r="L2172">
        <v>4</v>
      </c>
      <c r="M2172">
        <v>4</v>
      </c>
      <c r="N2172">
        <v>0</v>
      </c>
      <c r="O2172">
        <v>2</v>
      </c>
      <c r="P2172">
        <v>49.2</v>
      </c>
      <c r="Q2172">
        <v>0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3</v>
      </c>
      <c r="AA2172">
        <v>0</v>
      </c>
      <c r="AC2172">
        <v>52.2</v>
      </c>
    </row>
    <row r="2173" spans="1:29">
      <c r="A2173">
        <v>2166</v>
      </c>
      <c r="B2173">
        <v>692</v>
      </c>
      <c r="C2173" t="s">
        <v>571</v>
      </c>
      <c r="D2173" t="s">
        <v>52</v>
      </c>
      <c r="E2173" t="s">
        <v>66</v>
      </c>
      <c r="F2173" t="s">
        <v>4713</v>
      </c>
      <c r="G2173" t="str">
        <f>"00486257"</f>
        <v>00486257</v>
      </c>
      <c r="H2173">
        <v>43.2</v>
      </c>
      <c r="I2173">
        <v>0</v>
      </c>
      <c r="M2173">
        <v>0</v>
      </c>
      <c r="N2173">
        <v>4</v>
      </c>
      <c r="O2173">
        <v>2</v>
      </c>
      <c r="P2173">
        <v>49.2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3</v>
      </c>
      <c r="AA2173">
        <v>0</v>
      </c>
      <c r="AC2173">
        <v>52.2</v>
      </c>
    </row>
    <row r="2174" spans="1:29">
      <c r="A2174">
        <v>2167</v>
      </c>
      <c r="B2174">
        <v>4769</v>
      </c>
      <c r="C2174" t="s">
        <v>4715</v>
      </c>
      <c r="D2174" t="s">
        <v>4716</v>
      </c>
      <c r="E2174" t="s">
        <v>36</v>
      </c>
      <c r="F2174" t="s">
        <v>4717</v>
      </c>
      <c r="G2174" t="str">
        <f>"00654434"</f>
        <v>00654434</v>
      </c>
      <c r="H2174">
        <v>39.200000000000003</v>
      </c>
      <c r="I2174">
        <v>0</v>
      </c>
      <c r="L2174">
        <v>4</v>
      </c>
      <c r="M2174">
        <v>4</v>
      </c>
      <c r="N2174">
        <v>4</v>
      </c>
      <c r="O2174">
        <v>2</v>
      </c>
      <c r="P2174">
        <v>49.2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0</v>
      </c>
      <c r="Z2174">
        <v>3</v>
      </c>
      <c r="AA2174">
        <v>0</v>
      </c>
      <c r="AC2174">
        <v>52.2</v>
      </c>
    </row>
    <row r="2175" spans="1:29">
      <c r="A2175">
        <v>2168</v>
      </c>
      <c r="B2175">
        <v>1469</v>
      </c>
      <c r="C2175" t="s">
        <v>4718</v>
      </c>
      <c r="D2175" t="s">
        <v>52</v>
      </c>
      <c r="E2175" t="s">
        <v>36</v>
      </c>
      <c r="F2175" t="s">
        <v>4719</v>
      </c>
      <c r="G2175" t="str">
        <f>"00531331"</f>
        <v>00531331</v>
      </c>
      <c r="H2175">
        <v>18.16</v>
      </c>
      <c r="I2175">
        <v>0</v>
      </c>
      <c r="M2175">
        <v>0</v>
      </c>
      <c r="N2175">
        <v>4</v>
      </c>
      <c r="O2175">
        <v>2</v>
      </c>
      <c r="P2175">
        <v>24.16</v>
      </c>
      <c r="Q2175">
        <v>22</v>
      </c>
      <c r="R2175">
        <v>22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22</v>
      </c>
      <c r="Z2175">
        <v>6</v>
      </c>
      <c r="AA2175">
        <v>0</v>
      </c>
      <c r="AC2175">
        <v>52.16</v>
      </c>
    </row>
    <row r="2176" spans="1:29">
      <c r="A2176">
        <v>2169</v>
      </c>
      <c r="B2176">
        <v>4108</v>
      </c>
      <c r="C2176" t="s">
        <v>178</v>
      </c>
      <c r="D2176" t="s">
        <v>4720</v>
      </c>
      <c r="E2176" t="s">
        <v>32</v>
      </c>
      <c r="F2176" t="s">
        <v>4721</v>
      </c>
      <c r="G2176" t="str">
        <f>"00521730"</f>
        <v>00521730</v>
      </c>
      <c r="H2176">
        <v>39.159999999999997</v>
      </c>
      <c r="I2176">
        <v>0</v>
      </c>
      <c r="L2176">
        <v>4</v>
      </c>
      <c r="M2176">
        <v>4</v>
      </c>
      <c r="N2176">
        <v>4</v>
      </c>
      <c r="O2176">
        <v>2</v>
      </c>
      <c r="P2176">
        <v>49.16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3</v>
      </c>
      <c r="AA2176">
        <v>0</v>
      </c>
      <c r="AC2176">
        <v>52.16</v>
      </c>
    </row>
    <row r="2177" spans="1:29">
      <c r="A2177">
        <v>2170</v>
      </c>
      <c r="B2177">
        <v>4019</v>
      </c>
      <c r="C2177" t="s">
        <v>426</v>
      </c>
      <c r="D2177" t="s">
        <v>27</v>
      </c>
      <c r="E2177" t="s">
        <v>18</v>
      </c>
      <c r="F2177" t="s">
        <v>4722</v>
      </c>
      <c r="G2177" t="str">
        <f>"00199658"</f>
        <v>00199658</v>
      </c>
      <c r="H2177">
        <v>14.12</v>
      </c>
      <c r="I2177">
        <v>0</v>
      </c>
      <c r="M2177">
        <v>0</v>
      </c>
      <c r="N2177">
        <v>0</v>
      </c>
      <c r="O2177">
        <v>0</v>
      </c>
      <c r="P2177">
        <v>14.12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v>6</v>
      </c>
      <c r="AA2177">
        <v>32</v>
      </c>
      <c r="AC2177">
        <v>52.12</v>
      </c>
    </row>
    <row r="2178" spans="1:29">
      <c r="A2178">
        <v>2171</v>
      </c>
      <c r="B2178">
        <v>473</v>
      </c>
      <c r="C2178" t="s">
        <v>4723</v>
      </c>
      <c r="D2178" t="s">
        <v>282</v>
      </c>
      <c r="E2178" t="s">
        <v>18</v>
      </c>
      <c r="F2178" t="s">
        <v>4724</v>
      </c>
      <c r="G2178" t="str">
        <f>"00855215"</f>
        <v>00855215</v>
      </c>
      <c r="H2178">
        <v>7.2</v>
      </c>
      <c r="I2178">
        <v>0</v>
      </c>
      <c r="J2178">
        <v>8</v>
      </c>
      <c r="M2178">
        <v>8</v>
      </c>
      <c r="N2178">
        <v>4</v>
      </c>
      <c r="O2178">
        <v>0</v>
      </c>
      <c r="P2178">
        <v>19.2</v>
      </c>
      <c r="Q2178">
        <v>0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0</v>
      </c>
      <c r="Z2178">
        <v>6</v>
      </c>
      <c r="AA2178">
        <v>26.8</v>
      </c>
      <c r="AC2178">
        <v>52</v>
      </c>
    </row>
    <row r="2179" spans="1:29">
      <c r="A2179">
        <v>2172</v>
      </c>
      <c r="B2179">
        <v>3711</v>
      </c>
      <c r="C2179" t="s">
        <v>4725</v>
      </c>
      <c r="D2179" t="s">
        <v>248</v>
      </c>
      <c r="E2179" t="s">
        <v>337</v>
      </c>
      <c r="F2179" t="s">
        <v>4726</v>
      </c>
      <c r="G2179" t="str">
        <f>"00860595"</f>
        <v>00860595</v>
      </c>
      <c r="H2179">
        <v>40</v>
      </c>
      <c r="I2179">
        <v>0</v>
      </c>
      <c r="M2179">
        <v>0</v>
      </c>
      <c r="N2179">
        <v>4</v>
      </c>
      <c r="O2179">
        <v>2</v>
      </c>
      <c r="P2179">
        <v>46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6</v>
      </c>
      <c r="AA2179">
        <v>0</v>
      </c>
      <c r="AC2179">
        <v>52</v>
      </c>
    </row>
    <row r="2180" spans="1:29">
      <c r="A2180">
        <v>2173</v>
      </c>
      <c r="B2180">
        <v>1986</v>
      </c>
      <c r="C2180" t="s">
        <v>4729</v>
      </c>
      <c r="D2180" t="s">
        <v>86</v>
      </c>
      <c r="E2180" t="s">
        <v>647</v>
      </c>
      <c r="F2180" t="s">
        <v>4730</v>
      </c>
      <c r="G2180" t="str">
        <f>"00208046"</f>
        <v>00208046</v>
      </c>
      <c r="H2180">
        <v>36</v>
      </c>
      <c r="I2180">
        <v>0</v>
      </c>
      <c r="L2180">
        <v>4</v>
      </c>
      <c r="M2180">
        <v>4</v>
      </c>
      <c r="N2180">
        <v>4</v>
      </c>
      <c r="O2180">
        <v>2</v>
      </c>
      <c r="P2180">
        <v>46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6</v>
      </c>
      <c r="AA2180">
        <v>0</v>
      </c>
      <c r="AC2180">
        <v>52</v>
      </c>
    </row>
    <row r="2181" spans="1:29">
      <c r="A2181">
        <v>2174</v>
      </c>
      <c r="B2181">
        <v>3591</v>
      </c>
      <c r="C2181" t="s">
        <v>4731</v>
      </c>
      <c r="D2181" t="s">
        <v>179</v>
      </c>
      <c r="E2181" t="s">
        <v>28</v>
      </c>
      <c r="F2181" t="s">
        <v>4732</v>
      </c>
      <c r="G2181" t="str">
        <f>"00861494"</f>
        <v>00861494</v>
      </c>
      <c r="H2181">
        <v>36</v>
      </c>
      <c r="I2181">
        <v>0</v>
      </c>
      <c r="L2181">
        <v>4</v>
      </c>
      <c r="M2181">
        <v>4</v>
      </c>
      <c r="N2181">
        <v>4</v>
      </c>
      <c r="O2181">
        <v>2</v>
      </c>
      <c r="P2181">
        <v>46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6</v>
      </c>
      <c r="AA2181">
        <v>0</v>
      </c>
      <c r="AC2181">
        <v>52</v>
      </c>
    </row>
    <row r="2182" spans="1:29">
      <c r="A2182">
        <v>2175</v>
      </c>
      <c r="B2182">
        <v>3246</v>
      </c>
      <c r="C2182" t="s">
        <v>4737</v>
      </c>
      <c r="D2182" t="s">
        <v>20</v>
      </c>
      <c r="E2182" t="s">
        <v>581</v>
      </c>
      <c r="F2182" t="s">
        <v>4738</v>
      </c>
      <c r="G2182" t="str">
        <f>"00163330"</f>
        <v>00163330</v>
      </c>
      <c r="H2182">
        <v>36</v>
      </c>
      <c r="I2182">
        <v>0</v>
      </c>
      <c r="L2182">
        <v>4</v>
      </c>
      <c r="M2182">
        <v>4</v>
      </c>
      <c r="N2182">
        <v>4</v>
      </c>
      <c r="O2182">
        <v>2</v>
      </c>
      <c r="P2182">
        <v>46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6</v>
      </c>
      <c r="AA2182">
        <v>0</v>
      </c>
      <c r="AC2182">
        <v>52</v>
      </c>
    </row>
    <row r="2183" spans="1:29">
      <c r="A2183">
        <v>2176</v>
      </c>
      <c r="B2183">
        <v>745</v>
      </c>
      <c r="C2183" t="s">
        <v>4727</v>
      </c>
      <c r="D2183" t="s">
        <v>465</v>
      </c>
      <c r="E2183" t="s">
        <v>564</v>
      </c>
      <c r="F2183" t="s">
        <v>4728</v>
      </c>
      <c r="G2183" t="str">
        <f>"00856159"</f>
        <v>00856159</v>
      </c>
      <c r="H2183">
        <v>36</v>
      </c>
      <c r="I2183">
        <v>10</v>
      </c>
      <c r="M2183">
        <v>0</v>
      </c>
      <c r="N2183">
        <v>0</v>
      </c>
      <c r="O2183">
        <v>0</v>
      </c>
      <c r="P2183">
        <v>46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6</v>
      </c>
      <c r="AA2183">
        <v>0</v>
      </c>
      <c r="AC2183">
        <v>52</v>
      </c>
    </row>
    <row r="2184" spans="1:29">
      <c r="A2184">
        <v>2177</v>
      </c>
      <c r="B2184">
        <v>107</v>
      </c>
      <c r="C2184" t="s">
        <v>4733</v>
      </c>
      <c r="D2184" t="s">
        <v>52</v>
      </c>
      <c r="E2184" t="s">
        <v>79</v>
      </c>
      <c r="F2184" t="s">
        <v>4734</v>
      </c>
      <c r="G2184" t="str">
        <f>"00519054"</f>
        <v>00519054</v>
      </c>
      <c r="H2184">
        <v>36</v>
      </c>
      <c r="I2184">
        <v>0</v>
      </c>
      <c r="L2184">
        <v>4</v>
      </c>
      <c r="M2184">
        <v>4</v>
      </c>
      <c r="N2184">
        <v>4</v>
      </c>
      <c r="O2184">
        <v>2</v>
      </c>
      <c r="P2184">
        <v>46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0</v>
      </c>
      <c r="Z2184">
        <v>6</v>
      </c>
      <c r="AA2184">
        <v>0</v>
      </c>
      <c r="AC2184">
        <v>52</v>
      </c>
    </row>
    <row r="2185" spans="1:29">
      <c r="A2185">
        <v>2178</v>
      </c>
      <c r="B2185">
        <v>3128</v>
      </c>
      <c r="C2185" t="s">
        <v>4735</v>
      </c>
      <c r="D2185" t="s">
        <v>27</v>
      </c>
      <c r="E2185" t="s">
        <v>564</v>
      </c>
      <c r="F2185" t="s">
        <v>4736</v>
      </c>
      <c r="G2185" t="str">
        <f>"00736854"</f>
        <v>00736854</v>
      </c>
      <c r="H2185">
        <v>36</v>
      </c>
      <c r="I2185">
        <v>0</v>
      </c>
      <c r="L2185">
        <v>4</v>
      </c>
      <c r="M2185">
        <v>4</v>
      </c>
      <c r="N2185">
        <v>4</v>
      </c>
      <c r="O2185">
        <v>2</v>
      </c>
      <c r="P2185">
        <v>46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6</v>
      </c>
      <c r="AA2185">
        <v>0</v>
      </c>
      <c r="AC2185">
        <v>52</v>
      </c>
    </row>
    <row r="2186" spans="1:29">
      <c r="A2186">
        <v>2179</v>
      </c>
      <c r="B2186">
        <v>4898</v>
      </c>
      <c r="C2186" t="s">
        <v>4739</v>
      </c>
      <c r="D2186" t="s">
        <v>27</v>
      </c>
      <c r="E2186" t="s">
        <v>79</v>
      </c>
      <c r="F2186" t="s">
        <v>4740</v>
      </c>
      <c r="G2186" t="str">
        <f>"00698090"</f>
        <v>00698090</v>
      </c>
      <c r="H2186">
        <v>32</v>
      </c>
      <c r="I2186">
        <v>0</v>
      </c>
      <c r="J2186">
        <v>8</v>
      </c>
      <c r="M2186">
        <v>8</v>
      </c>
      <c r="N2186">
        <v>4</v>
      </c>
      <c r="O2186">
        <v>2</v>
      </c>
      <c r="P2186">
        <v>46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6</v>
      </c>
      <c r="AA2186">
        <v>0</v>
      </c>
      <c r="AC2186">
        <v>52</v>
      </c>
    </row>
    <row r="2187" spans="1:29">
      <c r="A2187">
        <v>2180</v>
      </c>
      <c r="B2187">
        <v>3126</v>
      </c>
      <c r="C2187" t="s">
        <v>4741</v>
      </c>
      <c r="D2187" t="s">
        <v>4742</v>
      </c>
      <c r="E2187" t="s">
        <v>79</v>
      </c>
      <c r="F2187" t="s">
        <v>4743</v>
      </c>
      <c r="G2187" t="str">
        <f>"00219784"</f>
        <v>00219784</v>
      </c>
      <c r="H2187">
        <v>28</v>
      </c>
      <c r="I2187">
        <v>10</v>
      </c>
      <c r="L2187">
        <v>4</v>
      </c>
      <c r="M2187">
        <v>4</v>
      </c>
      <c r="N2187">
        <v>4</v>
      </c>
      <c r="O2187">
        <v>0</v>
      </c>
      <c r="P2187">
        <v>46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v>6</v>
      </c>
      <c r="AA2187">
        <v>0</v>
      </c>
      <c r="AC2187">
        <v>52</v>
      </c>
    </row>
    <row r="2188" spans="1:29">
      <c r="A2188">
        <v>2181</v>
      </c>
      <c r="B2188">
        <v>607</v>
      </c>
      <c r="C2188" t="s">
        <v>4744</v>
      </c>
      <c r="D2188" t="s">
        <v>952</v>
      </c>
      <c r="E2188" t="s">
        <v>15</v>
      </c>
      <c r="F2188" t="s">
        <v>4745</v>
      </c>
      <c r="G2188" t="str">
        <f>"00514379"</f>
        <v>00514379</v>
      </c>
      <c r="H2188">
        <v>36</v>
      </c>
      <c r="I2188">
        <v>0</v>
      </c>
      <c r="M2188">
        <v>0</v>
      </c>
      <c r="N2188">
        <v>0</v>
      </c>
      <c r="O2188">
        <v>2</v>
      </c>
      <c r="P2188">
        <v>38</v>
      </c>
      <c r="Q2188">
        <v>8</v>
      </c>
      <c r="R2188">
        <v>8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8</v>
      </c>
      <c r="Z2188">
        <v>6</v>
      </c>
      <c r="AA2188">
        <v>0</v>
      </c>
      <c r="AC2188">
        <v>52</v>
      </c>
    </row>
    <row r="2189" spans="1:29">
      <c r="A2189">
        <v>2182</v>
      </c>
      <c r="B2189">
        <v>950</v>
      </c>
      <c r="C2189" t="s">
        <v>3501</v>
      </c>
      <c r="D2189" t="s">
        <v>52</v>
      </c>
      <c r="E2189" t="s">
        <v>168</v>
      </c>
      <c r="F2189" t="s">
        <v>4746</v>
      </c>
      <c r="G2189" t="str">
        <f>"00859606"</f>
        <v>00859606</v>
      </c>
      <c r="H2189">
        <v>38</v>
      </c>
      <c r="I2189">
        <v>10</v>
      </c>
      <c r="M2189">
        <v>0</v>
      </c>
      <c r="N2189">
        <v>4</v>
      </c>
      <c r="O2189">
        <v>0</v>
      </c>
      <c r="P2189">
        <v>52</v>
      </c>
      <c r="Q2189">
        <v>0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0</v>
      </c>
      <c r="Z2189">
        <v>0</v>
      </c>
      <c r="AA2189">
        <v>0</v>
      </c>
      <c r="AC2189">
        <v>52</v>
      </c>
    </row>
    <row r="2190" spans="1:29">
      <c r="A2190">
        <v>2183</v>
      </c>
      <c r="B2190">
        <v>4320</v>
      </c>
      <c r="C2190" t="s">
        <v>3100</v>
      </c>
      <c r="D2190" t="s">
        <v>20</v>
      </c>
      <c r="E2190" t="s">
        <v>237</v>
      </c>
      <c r="F2190" t="s">
        <v>4747</v>
      </c>
      <c r="G2190" t="str">
        <f>"00295727"</f>
        <v>00295727</v>
      </c>
      <c r="H2190">
        <v>34</v>
      </c>
      <c r="I2190">
        <v>10</v>
      </c>
      <c r="L2190">
        <v>4</v>
      </c>
      <c r="M2190">
        <v>4</v>
      </c>
      <c r="N2190">
        <v>4</v>
      </c>
      <c r="O2190">
        <v>0</v>
      </c>
      <c r="P2190">
        <v>52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v>0</v>
      </c>
      <c r="AA2190">
        <v>0</v>
      </c>
      <c r="AC2190">
        <v>52</v>
      </c>
    </row>
    <row r="2191" spans="1:29">
      <c r="A2191">
        <v>2184</v>
      </c>
      <c r="B2191">
        <v>774</v>
      </c>
      <c r="C2191" t="s">
        <v>4748</v>
      </c>
      <c r="D2191" t="s">
        <v>1729</v>
      </c>
      <c r="E2191" t="s">
        <v>66</v>
      </c>
      <c r="F2191" t="s">
        <v>4749</v>
      </c>
      <c r="G2191" t="str">
        <f>"00484322"</f>
        <v>00484322</v>
      </c>
      <c r="H2191">
        <v>36</v>
      </c>
      <c r="I2191">
        <v>0</v>
      </c>
      <c r="K2191">
        <v>6</v>
      </c>
      <c r="M2191">
        <v>6</v>
      </c>
      <c r="N2191">
        <v>4</v>
      </c>
      <c r="O2191">
        <v>2</v>
      </c>
      <c r="P2191">
        <v>48</v>
      </c>
      <c r="Q2191">
        <v>4</v>
      </c>
      <c r="R2191">
        <v>4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  <c r="Y2191">
        <v>4</v>
      </c>
      <c r="Z2191">
        <v>0</v>
      </c>
      <c r="AA2191">
        <v>0</v>
      </c>
      <c r="AC2191">
        <v>52</v>
      </c>
    </row>
    <row r="2192" spans="1:29">
      <c r="A2192">
        <v>2185</v>
      </c>
      <c r="B2192">
        <v>3102</v>
      </c>
      <c r="C2192" t="s">
        <v>4750</v>
      </c>
      <c r="D2192" t="s">
        <v>544</v>
      </c>
      <c r="E2192" t="s">
        <v>237</v>
      </c>
      <c r="F2192" t="s">
        <v>4751</v>
      </c>
      <c r="G2192" t="str">
        <f>"00527494"</f>
        <v>00527494</v>
      </c>
      <c r="H2192">
        <v>38</v>
      </c>
      <c r="I2192">
        <v>0</v>
      </c>
      <c r="K2192">
        <v>6</v>
      </c>
      <c r="M2192">
        <v>6</v>
      </c>
      <c r="N2192">
        <v>0</v>
      </c>
      <c r="O2192">
        <v>0</v>
      </c>
      <c r="P2192">
        <v>44</v>
      </c>
      <c r="Q2192">
        <v>8</v>
      </c>
      <c r="R2192">
        <v>8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8</v>
      </c>
      <c r="Z2192">
        <v>0</v>
      </c>
      <c r="AA2192">
        <v>0</v>
      </c>
      <c r="AC2192">
        <v>52</v>
      </c>
    </row>
    <row r="2193" spans="1:29">
      <c r="A2193">
        <v>2186</v>
      </c>
      <c r="B2193">
        <v>16</v>
      </c>
      <c r="C2193" t="s">
        <v>242</v>
      </c>
      <c r="D2193" t="s">
        <v>98</v>
      </c>
      <c r="E2193" t="s">
        <v>156</v>
      </c>
      <c r="F2193" t="s">
        <v>4752</v>
      </c>
      <c r="G2193" t="str">
        <f>"00424446"</f>
        <v>00424446</v>
      </c>
      <c r="H2193">
        <v>36</v>
      </c>
      <c r="I2193">
        <v>0</v>
      </c>
      <c r="M2193">
        <v>0</v>
      </c>
      <c r="N2193">
        <v>4</v>
      </c>
      <c r="O2193">
        <v>0</v>
      </c>
      <c r="P2193">
        <v>40</v>
      </c>
      <c r="Q2193">
        <v>12</v>
      </c>
      <c r="R2193">
        <v>12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12</v>
      </c>
      <c r="Z2193">
        <v>0</v>
      </c>
      <c r="AA2193">
        <v>0</v>
      </c>
      <c r="AC2193">
        <v>52</v>
      </c>
    </row>
    <row r="2194" spans="1:29">
      <c r="A2194">
        <v>2187</v>
      </c>
      <c r="B2194">
        <v>3142</v>
      </c>
      <c r="C2194" t="s">
        <v>4753</v>
      </c>
      <c r="D2194" t="s">
        <v>27</v>
      </c>
      <c r="E2194" t="s">
        <v>187</v>
      </c>
      <c r="F2194" t="s">
        <v>4754</v>
      </c>
      <c r="G2194" t="str">
        <f>"00518970"</f>
        <v>00518970</v>
      </c>
      <c r="H2194">
        <v>0</v>
      </c>
      <c r="I2194">
        <v>10</v>
      </c>
      <c r="M2194">
        <v>0</v>
      </c>
      <c r="N2194">
        <v>4</v>
      </c>
      <c r="O2194">
        <v>2</v>
      </c>
      <c r="P2194">
        <v>16</v>
      </c>
      <c r="Q2194">
        <v>36</v>
      </c>
      <c r="R2194">
        <v>36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0</v>
      </c>
      <c r="Y2194">
        <v>36</v>
      </c>
      <c r="Z2194">
        <v>0</v>
      </c>
      <c r="AA2194">
        <v>0</v>
      </c>
      <c r="AC2194">
        <v>52</v>
      </c>
    </row>
    <row r="2195" spans="1:29">
      <c r="A2195">
        <v>2188</v>
      </c>
      <c r="B2195">
        <v>4876</v>
      </c>
      <c r="C2195" t="s">
        <v>30</v>
      </c>
      <c r="D2195" t="s">
        <v>4755</v>
      </c>
      <c r="E2195" t="s">
        <v>28</v>
      </c>
      <c r="F2195" t="s">
        <v>4756</v>
      </c>
      <c r="G2195" t="str">
        <f>"201512004528"</f>
        <v>201512004528</v>
      </c>
      <c r="H2195">
        <v>18.16</v>
      </c>
      <c r="I2195">
        <v>0</v>
      </c>
      <c r="M2195">
        <v>0</v>
      </c>
      <c r="N2195">
        <v>4</v>
      </c>
      <c r="O2195">
        <v>0</v>
      </c>
      <c r="P2195">
        <v>22.16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3</v>
      </c>
      <c r="AA2195">
        <v>26.8</v>
      </c>
      <c r="AC2195">
        <v>51.96</v>
      </c>
    </row>
    <row r="2196" spans="1:29">
      <c r="A2196">
        <v>2189</v>
      </c>
      <c r="B2196">
        <v>4405</v>
      </c>
      <c r="C2196" t="s">
        <v>91</v>
      </c>
      <c r="D2196" t="s">
        <v>569</v>
      </c>
      <c r="E2196" t="s">
        <v>18</v>
      </c>
      <c r="F2196" t="s">
        <v>4757</v>
      </c>
      <c r="G2196" t="str">
        <f>"00512040"</f>
        <v>00512040</v>
      </c>
      <c r="H2196">
        <v>32.880000000000003</v>
      </c>
      <c r="I2196">
        <v>10</v>
      </c>
      <c r="M2196">
        <v>0</v>
      </c>
      <c r="N2196">
        <v>0</v>
      </c>
      <c r="O2196">
        <v>0</v>
      </c>
      <c r="P2196">
        <v>42.88</v>
      </c>
      <c r="Q2196">
        <v>0</v>
      </c>
      <c r="R2196">
        <v>0</v>
      </c>
      <c r="S2196">
        <v>0</v>
      </c>
      <c r="T2196">
        <v>0</v>
      </c>
      <c r="U2196">
        <v>4</v>
      </c>
      <c r="V2196">
        <v>6</v>
      </c>
      <c r="W2196">
        <v>0</v>
      </c>
      <c r="X2196">
        <v>0</v>
      </c>
      <c r="Y2196">
        <v>6</v>
      </c>
      <c r="Z2196">
        <v>3</v>
      </c>
      <c r="AA2196">
        <v>0</v>
      </c>
      <c r="AC2196">
        <v>51.88</v>
      </c>
    </row>
    <row r="2197" spans="1:29">
      <c r="A2197">
        <v>2190</v>
      </c>
      <c r="B2197">
        <v>3387</v>
      </c>
      <c r="C2197" t="s">
        <v>4758</v>
      </c>
      <c r="D2197" t="s">
        <v>4759</v>
      </c>
      <c r="E2197" t="s">
        <v>60</v>
      </c>
      <c r="F2197" t="s">
        <v>4760</v>
      </c>
      <c r="G2197" t="str">
        <f>"00790304"</f>
        <v>00790304</v>
      </c>
      <c r="H2197">
        <v>28.8</v>
      </c>
      <c r="I2197">
        <v>0</v>
      </c>
      <c r="J2197">
        <v>8</v>
      </c>
      <c r="M2197">
        <v>8</v>
      </c>
      <c r="N2197">
        <v>4</v>
      </c>
      <c r="O2197">
        <v>2</v>
      </c>
      <c r="P2197">
        <v>42.8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9</v>
      </c>
      <c r="AA2197">
        <v>0</v>
      </c>
      <c r="AC2197">
        <v>51.8</v>
      </c>
    </row>
    <row r="2198" spans="1:29">
      <c r="A2198">
        <v>2191</v>
      </c>
      <c r="B2198">
        <v>3549</v>
      </c>
      <c r="C2198" t="s">
        <v>4761</v>
      </c>
      <c r="D2198" t="s">
        <v>1810</v>
      </c>
      <c r="E2198" t="s">
        <v>60</v>
      </c>
      <c r="F2198" t="s">
        <v>4762</v>
      </c>
      <c r="G2198" t="str">
        <f>"00502977"</f>
        <v>00502977</v>
      </c>
      <c r="H2198">
        <v>28.8</v>
      </c>
      <c r="I2198">
        <v>10</v>
      </c>
      <c r="L2198">
        <v>4</v>
      </c>
      <c r="M2198">
        <v>4</v>
      </c>
      <c r="N2198">
        <v>0</v>
      </c>
      <c r="O2198">
        <v>0</v>
      </c>
      <c r="P2198">
        <v>42.8</v>
      </c>
      <c r="Q2198">
        <v>0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  <c r="Y2198">
        <v>0</v>
      </c>
      <c r="Z2198">
        <v>9</v>
      </c>
      <c r="AA2198">
        <v>0</v>
      </c>
      <c r="AC2198">
        <v>51.8</v>
      </c>
    </row>
    <row r="2199" spans="1:29">
      <c r="A2199">
        <v>2192</v>
      </c>
      <c r="B2199">
        <v>2004</v>
      </c>
      <c r="C2199" t="s">
        <v>4763</v>
      </c>
      <c r="D2199" t="s">
        <v>24</v>
      </c>
      <c r="E2199" t="s">
        <v>36</v>
      </c>
      <c r="F2199" t="s">
        <v>4764</v>
      </c>
      <c r="G2199" t="str">
        <f>"201511028546"</f>
        <v>201511028546</v>
      </c>
      <c r="H2199">
        <v>38.799999999999997</v>
      </c>
      <c r="I2199">
        <v>0</v>
      </c>
      <c r="L2199">
        <v>4</v>
      </c>
      <c r="M2199">
        <v>4</v>
      </c>
      <c r="N2199">
        <v>4</v>
      </c>
      <c r="O2199">
        <v>2</v>
      </c>
      <c r="P2199">
        <v>48.8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0</v>
      </c>
      <c r="Z2199">
        <v>3</v>
      </c>
      <c r="AA2199">
        <v>0</v>
      </c>
      <c r="AC2199">
        <v>51.8</v>
      </c>
    </row>
    <row r="2200" spans="1:29">
      <c r="A2200">
        <v>2193</v>
      </c>
      <c r="B2200">
        <v>2299</v>
      </c>
      <c r="C2200" t="s">
        <v>4765</v>
      </c>
      <c r="D2200" t="s">
        <v>4766</v>
      </c>
      <c r="E2200" t="s">
        <v>89</v>
      </c>
      <c r="F2200" t="s">
        <v>4767</v>
      </c>
      <c r="G2200" t="str">
        <f>"00556291"</f>
        <v>00556291</v>
      </c>
      <c r="H2200">
        <v>36.799999999999997</v>
      </c>
      <c r="I2200">
        <v>0</v>
      </c>
      <c r="K2200">
        <v>6</v>
      </c>
      <c r="M2200">
        <v>6</v>
      </c>
      <c r="N2200">
        <v>4</v>
      </c>
      <c r="O2200">
        <v>2</v>
      </c>
      <c r="P2200">
        <v>48.8</v>
      </c>
      <c r="Q2200">
        <v>0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0</v>
      </c>
      <c r="Z2200">
        <v>3</v>
      </c>
      <c r="AA2200">
        <v>0</v>
      </c>
      <c r="AC2200">
        <v>51.8</v>
      </c>
    </row>
    <row r="2201" spans="1:29">
      <c r="A2201">
        <v>2194</v>
      </c>
      <c r="B2201">
        <v>4274</v>
      </c>
      <c r="C2201" t="s">
        <v>4768</v>
      </c>
      <c r="D2201" t="s">
        <v>2487</v>
      </c>
      <c r="E2201" t="s">
        <v>156</v>
      </c>
      <c r="F2201" t="s">
        <v>4769</v>
      </c>
      <c r="G2201" t="str">
        <f>"201511035709"</f>
        <v>201511035709</v>
      </c>
      <c r="H2201">
        <v>28.8</v>
      </c>
      <c r="I2201">
        <v>10</v>
      </c>
      <c r="L2201">
        <v>4</v>
      </c>
      <c r="M2201">
        <v>4</v>
      </c>
      <c r="N2201">
        <v>4</v>
      </c>
      <c r="O2201">
        <v>2</v>
      </c>
      <c r="P2201">
        <v>48.8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v>3</v>
      </c>
      <c r="AA2201">
        <v>0</v>
      </c>
      <c r="AC2201">
        <v>51.8</v>
      </c>
    </row>
    <row r="2202" spans="1:29">
      <c r="A2202">
        <v>2195</v>
      </c>
      <c r="B2202">
        <v>4511</v>
      </c>
      <c r="C2202" t="s">
        <v>3081</v>
      </c>
      <c r="D2202" t="s">
        <v>108</v>
      </c>
      <c r="E2202" t="s">
        <v>36</v>
      </c>
      <c r="F2202" t="s">
        <v>4770</v>
      </c>
      <c r="G2202" t="str">
        <f>"00864949"</f>
        <v>00864949</v>
      </c>
      <c r="H2202">
        <v>28.8</v>
      </c>
      <c r="I2202">
        <v>10</v>
      </c>
      <c r="L2202">
        <v>4</v>
      </c>
      <c r="M2202">
        <v>4</v>
      </c>
      <c r="N2202">
        <v>4</v>
      </c>
      <c r="O2202">
        <v>2</v>
      </c>
      <c r="P2202">
        <v>48.8</v>
      </c>
      <c r="Q2202">
        <v>0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0</v>
      </c>
      <c r="Z2202">
        <v>3</v>
      </c>
      <c r="AA2202">
        <v>0</v>
      </c>
      <c r="AC2202">
        <v>51.8</v>
      </c>
    </row>
    <row r="2203" spans="1:29">
      <c r="A2203">
        <v>2196</v>
      </c>
      <c r="B2203">
        <v>725</v>
      </c>
      <c r="C2203" t="s">
        <v>3392</v>
      </c>
      <c r="D2203" t="s">
        <v>98</v>
      </c>
      <c r="E2203" t="s">
        <v>15</v>
      </c>
      <c r="F2203" t="s">
        <v>4771</v>
      </c>
      <c r="G2203" t="str">
        <f>"00764105"</f>
        <v>00764105</v>
      </c>
      <c r="H2203">
        <v>27.72</v>
      </c>
      <c r="I2203">
        <v>10</v>
      </c>
      <c r="L2203">
        <v>4</v>
      </c>
      <c r="M2203">
        <v>4</v>
      </c>
      <c r="N2203">
        <v>4</v>
      </c>
      <c r="O2203">
        <v>0</v>
      </c>
      <c r="P2203">
        <v>45.72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6</v>
      </c>
      <c r="AA2203">
        <v>0</v>
      </c>
      <c r="AC2203">
        <v>51.72</v>
      </c>
    </row>
    <row r="2204" spans="1:29">
      <c r="A2204">
        <v>2197</v>
      </c>
      <c r="B2204">
        <v>1962</v>
      </c>
      <c r="C2204" t="s">
        <v>3081</v>
      </c>
      <c r="D2204" t="s">
        <v>95</v>
      </c>
      <c r="E2204" t="s">
        <v>647</v>
      </c>
      <c r="F2204" t="s">
        <v>4772</v>
      </c>
      <c r="G2204" t="str">
        <f>"00712666"</f>
        <v>00712666</v>
      </c>
      <c r="H2204">
        <v>27.64</v>
      </c>
      <c r="I2204">
        <v>10</v>
      </c>
      <c r="L2204">
        <v>4</v>
      </c>
      <c r="M2204">
        <v>4</v>
      </c>
      <c r="N2204">
        <v>4</v>
      </c>
      <c r="O2204">
        <v>0</v>
      </c>
      <c r="P2204">
        <v>45.64</v>
      </c>
      <c r="Q2204">
        <v>0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0</v>
      </c>
      <c r="Z2204">
        <v>6</v>
      </c>
      <c r="AA2204">
        <v>0</v>
      </c>
      <c r="AC2204">
        <v>51.64</v>
      </c>
    </row>
    <row r="2205" spans="1:29">
      <c r="A2205">
        <v>2198</v>
      </c>
      <c r="B2205">
        <v>1109</v>
      </c>
      <c r="C2205" t="s">
        <v>1708</v>
      </c>
      <c r="D2205" t="s">
        <v>903</v>
      </c>
      <c r="E2205" t="s">
        <v>1527</v>
      </c>
      <c r="F2205" t="s">
        <v>4773</v>
      </c>
      <c r="G2205" t="str">
        <f>"201511005656"</f>
        <v>201511005656</v>
      </c>
      <c r="H2205">
        <v>39.6</v>
      </c>
      <c r="I2205">
        <v>0</v>
      </c>
      <c r="M2205">
        <v>0</v>
      </c>
      <c r="N2205">
        <v>4</v>
      </c>
      <c r="O2205">
        <v>2</v>
      </c>
      <c r="P2205">
        <v>45.6</v>
      </c>
      <c r="Q2205">
        <v>0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v>6</v>
      </c>
      <c r="AA2205">
        <v>0</v>
      </c>
      <c r="AC2205">
        <v>51.6</v>
      </c>
    </row>
    <row r="2206" spans="1:29">
      <c r="A2206">
        <v>2199</v>
      </c>
      <c r="B2206">
        <v>2942</v>
      </c>
      <c r="C2206" t="s">
        <v>4774</v>
      </c>
      <c r="D2206" t="s">
        <v>98</v>
      </c>
      <c r="E2206" t="s">
        <v>4775</v>
      </c>
      <c r="F2206" t="s">
        <v>4776</v>
      </c>
      <c r="G2206" t="str">
        <f>"00531748"</f>
        <v>00531748</v>
      </c>
      <c r="H2206">
        <v>21.6</v>
      </c>
      <c r="I2206">
        <v>0</v>
      </c>
      <c r="J2206">
        <v>8</v>
      </c>
      <c r="M2206">
        <v>8</v>
      </c>
      <c r="N2206">
        <v>4</v>
      </c>
      <c r="O2206">
        <v>2</v>
      </c>
      <c r="P2206">
        <v>35.6</v>
      </c>
      <c r="Q2206">
        <v>10</v>
      </c>
      <c r="R2206">
        <v>10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10</v>
      </c>
      <c r="Z2206">
        <v>6</v>
      </c>
      <c r="AA2206">
        <v>0</v>
      </c>
      <c r="AC2206">
        <v>51.6</v>
      </c>
    </row>
    <row r="2207" spans="1:29">
      <c r="A2207">
        <v>2200</v>
      </c>
      <c r="B2207">
        <v>1772</v>
      </c>
      <c r="C2207" t="s">
        <v>4777</v>
      </c>
      <c r="D2207" t="s">
        <v>930</v>
      </c>
      <c r="E2207" t="s">
        <v>1450</v>
      </c>
      <c r="F2207" t="s">
        <v>4778</v>
      </c>
      <c r="G2207" t="str">
        <f>"00865739"</f>
        <v>00865739</v>
      </c>
      <c r="H2207">
        <v>39.6</v>
      </c>
      <c r="I2207">
        <v>0</v>
      </c>
      <c r="J2207">
        <v>8</v>
      </c>
      <c r="M2207">
        <v>8</v>
      </c>
      <c r="N2207">
        <v>4</v>
      </c>
      <c r="O2207">
        <v>0</v>
      </c>
      <c r="P2207">
        <v>51.6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0</v>
      </c>
      <c r="Z2207">
        <v>0</v>
      </c>
      <c r="AA2207">
        <v>0</v>
      </c>
      <c r="AC2207">
        <v>51.6</v>
      </c>
    </row>
    <row r="2208" spans="1:29">
      <c r="A2208">
        <v>2201</v>
      </c>
      <c r="B2208">
        <v>4895</v>
      </c>
      <c r="C2208" t="s">
        <v>4779</v>
      </c>
      <c r="D2208" t="s">
        <v>147</v>
      </c>
      <c r="E2208" t="s">
        <v>2589</v>
      </c>
      <c r="F2208" t="s">
        <v>4780</v>
      </c>
      <c r="G2208" t="str">
        <f>"00532647"</f>
        <v>00532647</v>
      </c>
      <c r="H2208">
        <v>18.760000000000002</v>
      </c>
      <c r="I2208">
        <v>0</v>
      </c>
      <c r="M2208">
        <v>0</v>
      </c>
      <c r="N2208">
        <v>0</v>
      </c>
      <c r="O2208">
        <v>0</v>
      </c>
      <c r="P2208">
        <v>18.760000000000002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0</v>
      </c>
      <c r="Z2208">
        <v>6</v>
      </c>
      <c r="AA2208">
        <v>26.8</v>
      </c>
      <c r="AC2208">
        <v>51.56</v>
      </c>
    </row>
    <row r="2209" spans="1:29">
      <c r="A2209">
        <v>2202</v>
      </c>
      <c r="B2209">
        <v>2290</v>
      </c>
      <c r="C2209" t="s">
        <v>2256</v>
      </c>
      <c r="D2209" t="s">
        <v>49</v>
      </c>
      <c r="E2209" t="s">
        <v>15</v>
      </c>
      <c r="F2209" t="s">
        <v>4781</v>
      </c>
      <c r="G2209" t="str">
        <f>"00739236"</f>
        <v>00739236</v>
      </c>
      <c r="H2209">
        <v>26.48</v>
      </c>
      <c r="I2209">
        <v>10</v>
      </c>
      <c r="J2209">
        <v>8</v>
      </c>
      <c r="M2209">
        <v>8</v>
      </c>
      <c r="N2209">
        <v>4</v>
      </c>
      <c r="O2209">
        <v>0</v>
      </c>
      <c r="P2209">
        <v>48.48</v>
      </c>
      <c r="Q2209">
        <v>0</v>
      </c>
      <c r="R2209">
        <v>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0</v>
      </c>
      <c r="Y2209">
        <v>0</v>
      </c>
      <c r="Z2209">
        <v>3</v>
      </c>
      <c r="AA2209">
        <v>0</v>
      </c>
      <c r="AC2209">
        <v>51.48</v>
      </c>
    </row>
    <row r="2210" spans="1:29">
      <c r="A2210">
        <v>2203</v>
      </c>
      <c r="B2210">
        <v>1176</v>
      </c>
      <c r="C2210" t="s">
        <v>178</v>
      </c>
      <c r="D2210" t="s">
        <v>4782</v>
      </c>
      <c r="E2210" t="s">
        <v>18</v>
      </c>
      <c r="F2210" t="s">
        <v>4783</v>
      </c>
      <c r="G2210" t="str">
        <f>"00081333"</f>
        <v>00081333</v>
      </c>
      <c r="H2210">
        <v>38.4</v>
      </c>
      <c r="I2210">
        <v>0</v>
      </c>
      <c r="M2210">
        <v>0</v>
      </c>
      <c r="N2210">
        <v>4</v>
      </c>
      <c r="O2210">
        <v>0</v>
      </c>
      <c r="P2210">
        <v>42.4</v>
      </c>
      <c r="Q2210">
        <v>0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0</v>
      </c>
      <c r="Z2210">
        <v>9</v>
      </c>
      <c r="AA2210">
        <v>0</v>
      </c>
      <c r="AC2210">
        <v>51.4</v>
      </c>
    </row>
    <row r="2211" spans="1:29">
      <c r="A2211">
        <v>2204</v>
      </c>
      <c r="B2211">
        <v>3988</v>
      </c>
      <c r="C2211" t="s">
        <v>4784</v>
      </c>
      <c r="D2211" t="s">
        <v>4785</v>
      </c>
      <c r="E2211" t="s">
        <v>4786</v>
      </c>
      <c r="F2211" t="s">
        <v>4787</v>
      </c>
      <c r="G2211" t="str">
        <f>"00426416"</f>
        <v>00426416</v>
      </c>
      <c r="H2211">
        <v>38.4</v>
      </c>
      <c r="I2211">
        <v>0</v>
      </c>
      <c r="M2211">
        <v>0</v>
      </c>
      <c r="N2211">
        <v>4</v>
      </c>
      <c r="O2211">
        <v>0</v>
      </c>
      <c r="P2211">
        <v>42.4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0</v>
      </c>
      <c r="Z2211">
        <v>9</v>
      </c>
      <c r="AA2211">
        <v>0</v>
      </c>
      <c r="AC2211">
        <v>51.4</v>
      </c>
    </row>
    <row r="2212" spans="1:29">
      <c r="A2212">
        <v>2205</v>
      </c>
      <c r="B2212">
        <v>3842</v>
      </c>
      <c r="C2212" t="s">
        <v>4788</v>
      </c>
      <c r="D2212" t="s">
        <v>130</v>
      </c>
      <c r="E2212" t="s">
        <v>89</v>
      </c>
      <c r="F2212" t="s">
        <v>4789</v>
      </c>
      <c r="G2212" t="str">
        <f>"00028072"</f>
        <v>00028072</v>
      </c>
      <c r="H2212">
        <v>32.4</v>
      </c>
      <c r="I2212">
        <v>0</v>
      </c>
      <c r="M2212">
        <v>0</v>
      </c>
      <c r="N2212">
        <v>4</v>
      </c>
      <c r="O2212">
        <v>2</v>
      </c>
      <c r="P2212">
        <v>38.4</v>
      </c>
      <c r="Q2212">
        <v>10</v>
      </c>
      <c r="R2212">
        <v>10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10</v>
      </c>
      <c r="Z2212">
        <v>3</v>
      </c>
      <c r="AA2212">
        <v>0</v>
      </c>
      <c r="AC2212">
        <v>51.4</v>
      </c>
    </row>
    <row r="2213" spans="1:29">
      <c r="A2213">
        <v>2206</v>
      </c>
      <c r="B2213">
        <v>3476</v>
      </c>
      <c r="C2213" t="s">
        <v>4790</v>
      </c>
      <c r="D2213" t="s">
        <v>251</v>
      </c>
      <c r="E2213" t="s">
        <v>66</v>
      </c>
      <c r="F2213" t="s">
        <v>4791</v>
      </c>
      <c r="G2213" t="str">
        <f>"00531752"</f>
        <v>00531752</v>
      </c>
      <c r="H2213">
        <v>14.4</v>
      </c>
      <c r="I2213">
        <v>10</v>
      </c>
      <c r="L2213">
        <v>4</v>
      </c>
      <c r="M2213">
        <v>4</v>
      </c>
      <c r="N2213">
        <v>4</v>
      </c>
      <c r="O2213">
        <v>2</v>
      </c>
      <c r="P2213">
        <v>34.4</v>
      </c>
      <c r="Q2213">
        <v>17</v>
      </c>
      <c r="R2213">
        <v>17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17</v>
      </c>
      <c r="Z2213">
        <v>0</v>
      </c>
      <c r="AA2213">
        <v>0</v>
      </c>
      <c r="AC2213">
        <v>51.4</v>
      </c>
    </row>
    <row r="2214" spans="1:29">
      <c r="A2214">
        <v>2207</v>
      </c>
      <c r="B2214">
        <v>1534</v>
      </c>
      <c r="C2214" t="s">
        <v>4792</v>
      </c>
      <c r="D2214" t="s">
        <v>52</v>
      </c>
      <c r="E2214" t="s">
        <v>89</v>
      </c>
      <c r="F2214" t="s">
        <v>4793</v>
      </c>
      <c r="G2214" t="str">
        <f>"00442053"</f>
        <v>00442053</v>
      </c>
      <c r="H2214">
        <v>14.4</v>
      </c>
      <c r="I2214">
        <v>10</v>
      </c>
      <c r="M2214">
        <v>0</v>
      </c>
      <c r="N2214">
        <v>0</v>
      </c>
      <c r="O2214">
        <v>0</v>
      </c>
      <c r="P2214">
        <v>24.4</v>
      </c>
      <c r="Q2214">
        <v>17</v>
      </c>
      <c r="R2214">
        <v>17</v>
      </c>
      <c r="S2214">
        <v>0</v>
      </c>
      <c r="T2214">
        <v>0</v>
      </c>
      <c r="U2214">
        <v>7</v>
      </c>
      <c r="V2214">
        <v>10</v>
      </c>
      <c r="W2214">
        <v>0</v>
      </c>
      <c r="X2214">
        <v>0</v>
      </c>
      <c r="Y2214">
        <v>27</v>
      </c>
      <c r="Z2214">
        <v>0</v>
      </c>
      <c r="AA2214">
        <v>0</v>
      </c>
      <c r="AC2214">
        <v>51.4</v>
      </c>
    </row>
    <row r="2215" spans="1:29">
      <c r="A2215">
        <v>2208</v>
      </c>
      <c r="B2215">
        <v>748</v>
      </c>
      <c r="C2215" t="s">
        <v>3501</v>
      </c>
      <c r="D2215" t="s">
        <v>4794</v>
      </c>
      <c r="E2215" t="s">
        <v>60</v>
      </c>
      <c r="F2215" t="s">
        <v>4795</v>
      </c>
      <c r="G2215" t="str">
        <f>"00309232"</f>
        <v>00309232</v>
      </c>
      <c r="H2215">
        <v>17.52</v>
      </c>
      <c r="I2215">
        <v>0</v>
      </c>
      <c r="M2215">
        <v>0</v>
      </c>
      <c r="N2215">
        <v>4</v>
      </c>
      <c r="O2215">
        <v>0</v>
      </c>
      <c r="P2215">
        <v>21.52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0</v>
      </c>
      <c r="Z2215">
        <v>3</v>
      </c>
      <c r="AA2215">
        <v>26.8</v>
      </c>
      <c r="AC2215">
        <v>51.32</v>
      </c>
    </row>
    <row r="2216" spans="1:29">
      <c r="A2216">
        <v>2209</v>
      </c>
      <c r="B2216">
        <v>547</v>
      </c>
      <c r="C2216" t="s">
        <v>4796</v>
      </c>
      <c r="D2216" t="s">
        <v>465</v>
      </c>
      <c r="E2216" t="s">
        <v>15</v>
      </c>
      <c r="F2216" t="s">
        <v>4797</v>
      </c>
      <c r="G2216" t="str">
        <f>"00118958"</f>
        <v>00118958</v>
      </c>
      <c r="H2216">
        <v>43.2</v>
      </c>
      <c r="I2216">
        <v>0</v>
      </c>
      <c r="M2216">
        <v>0</v>
      </c>
      <c r="N2216">
        <v>0</v>
      </c>
      <c r="O2216">
        <v>2</v>
      </c>
      <c r="P2216">
        <v>45.2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6</v>
      </c>
      <c r="AA2216">
        <v>0</v>
      </c>
      <c r="AC2216">
        <v>51.2</v>
      </c>
    </row>
    <row r="2217" spans="1:29">
      <c r="A2217">
        <v>2210</v>
      </c>
      <c r="B2217">
        <v>82</v>
      </c>
      <c r="C2217" t="s">
        <v>4798</v>
      </c>
      <c r="D2217" t="s">
        <v>4799</v>
      </c>
      <c r="E2217" t="s">
        <v>322</v>
      </c>
      <c r="F2217" t="s">
        <v>4800</v>
      </c>
      <c r="G2217" t="str">
        <f>"200712002035"</f>
        <v>200712002035</v>
      </c>
      <c r="H2217">
        <v>39.200000000000003</v>
      </c>
      <c r="I2217">
        <v>0</v>
      </c>
      <c r="M2217">
        <v>0</v>
      </c>
      <c r="N2217">
        <v>4</v>
      </c>
      <c r="O2217">
        <v>2</v>
      </c>
      <c r="P2217">
        <v>45.2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6</v>
      </c>
      <c r="AA2217">
        <v>0</v>
      </c>
      <c r="AC2217">
        <v>51.2</v>
      </c>
    </row>
    <row r="2218" spans="1:29">
      <c r="A2218">
        <v>2211</v>
      </c>
      <c r="B2218">
        <v>2028</v>
      </c>
      <c r="C2218" t="s">
        <v>4801</v>
      </c>
      <c r="D2218" t="s">
        <v>2407</v>
      </c>
      <c r="E2218" t="s">
        <v>4802</v>
      </c>
      <c r="F2218" t="s">
        <v>4803</v>
      </c>
      <c r="G2218" t="str">
        <f>"00561574"</f>
        <v>00561574</v>
      </c>
      <c r="H2218">
        <v>31.2</v>
      </c>
      <c r="I2218">
        <v>0</v>
      </c>
      <c r="J2218">
        <v>8</v>
      </c>
      <c r="M2218">
        <v>8</v>
      </c>
      <c r="N2218">
        <v>4</v>
      </c>
      <c r="O2218">
        <v>2</v>
      </c>
      <c r="P2218">
        <v>45.2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0</v>
      </c>
      <c r="Z2218">
        <v>6</v>
      </c>
      <c r="AA2218">
        <v>0</v>
      </c>
      <c r="AC2218">
        <v>51.2</v>
      </c>
    </row>
    <row r="2219" spans="1:29">
      <c r="A2219">
        <v>2212</v>
      </c>
      <c r="B2219">
        <v>24</v>
      </c>
      <c r="C2219" t="s">
        <v>2987</v>
      </c>
      <c r="D2219" t="s">
        <v>4804</v>
      </c>
      <c r="E2219" t="s">
        <v>337</v>
      </c>
      <c r="F2219" t="s">
        <v>4805</v>
      </c>
      <c r="G2219" t="str">
        <f>"00487038"</f>
        <v>00487038</v>
      </c>
      <c r="H2219">
        <v>34.200000000000003</v>
      </c>
      <c r="I2219">
        <v>10</v>
      </c>
      <c r="M2219">
        <v>0</v>
      </c>
      <c r="N2219">
        <v>4</v>
      </c>
      <c r="O2219">
        <v>0</v>
      </c>
      <c r="P2219">
        <v>48.2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3</v>
      </c>
      <c r="AA2219">
        <v>0</v>
      </c>
      <c r="AC2219">
        <v>51.2</v>
      </c>
    </row>
    <row r="2220" spans="1:29">
      <c r="A2220">
        <v>2213</v>
      </c>
      <c r="B2220">
        <v>4858</v>
      </c>
      <c r="C2220" t="s">
        <v>2043</v>
      </c>
      <c r="D2220" t="s">
        <v>448</v>
      </c>
      <c r="E2220" t="s">
        <v>79</v>
      </c>
      <c r="F2220">
        <v>14708</v>
      </c>
      <c r="G2220" t="str">
        <f>"00179325"</f>
        <v>00179325</v>
      </c>
      <c r="H2220">
        <v>43.2</v>
      </c>
      <c r="I2220">
        <v>0</v>
      </c>
      <c r="L2220">
        <v>4</v>
      </c>
      <c r="M2220">
        <v>4</v>
      </c>
      <c r="N2220">
        <v>4</v>
      </c>
      <c r="O2220">
        <v>0</v>
      </c>
      <c r="P2220">
        <v>51.2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0</v>
      </c>
      <c r="AC2220">
        <v>51.2</v>
      </c>
    </row>
    <row r="2221" spans="1:29">
      <c r="A2221">
        <v>2214</v>
      </c>
      <c r="B2221">
        <v>1270</v>
      </c>
      <c r="C2221" t="s">
        <v>4826</v>
      </c>
      <c r="D2221" t="s">
        <v>248</v>
      </c>
      <c r="E2221" t="s">
        <v>36</v>
      </c>
      <c r="F2221" t="s">
        <v>4827</v>
      </c>
      <c r="G2221" t="str">
        <f>"00779330"</f>
        <v>00779330</v>
      </c>
      <c r="H2221">
        <v>43.2</v>
      </c>
      <c r="I2221">
        <v>0</v>
      </c>
      <c r="L2221">
        <v>4</v>
      </c>
      <c r="M2221">
        <v>4</v>
      </c>
      <c r="N2221">
        <v>4</v>
      </c>
      <c r="O2221">
        <v>0</v>
      </c>
      <c r="P2221">
        <v>51.2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0</v>
      </c>
      <c r="AC2221">
        <v>51.2</v>
      </c>
    </row>
    <row r="2222" spans="1:29">
      <c r="A2222">
        <v>2215</v>
      </c>
      <c r="B2222">
        <v>2580</v>
      </c>
      <c r="C2222" t="s">
        <v>4814</v>
      </c>
      <c r="D2222" t="s">
        <v>130</v>
      </c>
      <c r="E2222" t="s">
        <v>79</v>
      </c>
      <c r="F2222" t="s">
        <v>4815</v>
      </c>
      <c r="G2222" t="str">
        <f>"00531079"</f>
        <v>00531079</v>
      </c>
      <c r="H2222">
        <v>43.2</v>
      </c>
      <c r="I2222">
        <v>0</v>
      </c>
      <c r="L2222">
        <v>4</v>
      </c>
      <c r="M2222">
        <v>4</v>
      </c>
      <c r="N2222">
        <v>4</v>
      </c>
      <c r="O2222">
        <v>0</v>
      </c>
      <c r="P2222">
        <v>51.2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  <c r="AA2222">
        <v>0</v>
      </c>
      <c r="AC2222">
        <v>51.2</v>
      </c>
    </row>
    <row r="2223" spans="1:29">
      <c r="A2223">
        <v>2216</v>
      </c>
      <c r="B2223">
        <v>3061</v>
      </c>
      <c r="C2223" t="s">
        <v>4809</v>
      </c>
      <c r="D2223" t="s">
        <v>27</v>
      </c>
      <c r="E2223" t="s">
        <v>79</v>
      </c>
      <c r="F2223" t="s">
        <v>4810</v>
      </c>
      <c r="G2223" t="str">
        <f>"00864673"</f>
        <v>00864673</v>
      </c>
      <c r="H2223">
        <v>43.2</v>
      </c>
      <c r="I2223">
        <v>0</v>
      </c>
      <c r="L2223">
        <v>4</v>
      </c>
      <c r="M2223">
        <v>4</v>
      </c>
      <c r="N2223">
        <v>4</v>
      </c>
      <c r="O2223">
        <v>0</v>
      </c>
      <c r="P2223">
        <v>51.2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  <c r="AA2223">
        <v>0</v>
      </c>
      <c r="AC2223">
        <v>51.2</v>
      </c>
    </row>
    <row r="2224" spans="1:29">
      <c r="A2224">
        <v>2217</v>
      </c>
      <c r="B2224">
        <v>698</v>
      </c>
      <c r="C2224" t="s">
        <v>20</v>
      </c>
      <c r="D2224" t="s">
        <v>4822</v>
      </c>
      <c r="E2224" t="s">
        <v>156</v>
      </c>
      <c r="F2224" t="s">
        <v>4823</v>
      </c>
      <c r="G2224" t="str">
        <f>"00565370"</f>
        <v>00565370</v>
      </c>
      <c r="H2224">
        <v>43.2</v>
      </c>
      <c r="I2224">
        <v>0</v>
      </c>
      <c r="L2224">
        <v>4</v>
      </c>
      <c r="M2224">
        <v>4</v>
      </c>
      <c r="N2224">
        <v>4</v>
      </c>
      <c r="O2224">
        <v>0</v>
      </c>
      <c r="P2224">
        <v>51.2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  <c r="AC2224">
        <v>51.2</v>
      </c>
    </row>
    <row r="2225" spans="1:29">
      <c r="A2225">
        <v>2218</v>
      </c>
      <c r="B2225">
        <v>1817</v>
      </c>
      <c r="C2225" t="s">
        <v>1076</v>
      </c>
      <c r="D2225" t="s">
        <v>20</v>
      </c>
      <c r="E2225" t="s">
        <v>15</v>
      </c>
      <c r="F2225" t="s">
        <v>4821</v>
      </c>
      <c r="G2225" t="str">
        <f>"00864031"</f>
        <v>00864031</v>
      </c>
      <c r="H2225">
        <v>43.2</v>
      </c>
      <c r="I2225">
        <v>0</v>
      </c>
      <c r="J2225">
        <v>8</v>
      </c>
      <c r="M2225">
        <v>8</v>
      </c>
      <c r="N2225">
        <v>0</v>
      </c>
      <c r="O2225">
        <v>0</v>
      </c>
      <c r="P2225">
        <v>51.2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0</v>
      </c>
      <c r="AC2225">
        <v>51.2</v>
      </c>
    </row>
    <row r="2226" spans="1:29">
      <c r="A2226">
        <v>2219</v>
      </c>
      <c r="B2226">
        <v>166</v>
      </c>
      <c r="C2226" t="s">
        <v>4812</v>
      </c>
      <c r="D2226" t="s">
        <v>27</v>
      </c>
      <c r="E2226" t="s">
        <v>237</v>
      </c>
      <c r="F2226" t="s">
        <v>4813</v>
      </c>
      <c r="G2226" t="str">
        <f>"00234151"</f>
        <v>00234151</v>
      </c>
      <c r="H2226">
        <v>43.2</v>
      </c>
      <c r="I2226">
        <v>0</v>
      </c>
      <c r="L2226">
        <v>4</v>
      </c>
      <c r="M2226">
        <v>4</v>
      </c>
      <c r="N2226">
        <v>4</v>
      </c>
      <c r="O2226">
        <v>0</v>
      </c>
      <c r="P2226">
        <v>51.2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v>0</v>
      </c>
      <c r="AA2226">
        <v>0</v>
      </c>
      <c r="AC2226">
        <v>51.2</v>
      </c>
    </row>
    <row r="2227" spans="1:29">
      <c r="A2227">
        <v>2220</v>
      </c>
      <c r="B2227">
        <v>891</v>
      </c>
      <c r="C2227" t="s">
        <v>1579</v>
      </c>
      <c r="D2227" t="s">
        <v>27</v>
      </c>
      <c r="E2227" t="s">
        <v>292</v>
      </c>
      <c r="F2227" t="s">
        <v>4811</v>
      </c>
      <c r="G2227" t="str">
        <f>"00814886"</f>
        <v>00814886</v>
      </c>
      <c r="H2227">
        <v>43.2</v>
      </c>
      <c r="I2227">
        <v>0</v>
      </c>
      <c r="J2227">
        <v>8</v>
      </c>
      <c r="M2227">
        <v>8</v>
      </c>
      <c r="N2227">
        <v>0</v>
      </c>
      <c r="O2227">
        <v>0</v>
      </c>
      <c r="P2227">
        <v>51.2</v>
      </c>
      <c r="Q2227">
        <v>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0</v>
      </c>
      <c r="Y2227">
        <v>0</v>
      </c>
      <c r="Z2227">
        <v>0</v>
      </c>
      <c r="AA2227">
        <v>0</v>
      </c>
      <c r="AC2227">
        <v>51.2</v>
      </c>
    </row>
    <row r="2228" spans="1:29">
      <c r="A2228">
        <v>2221</v>
      </c>
      <c r="B2228">
        <v>1139</v>
      </c>
      <c r="C2228" t="s">
        <v>4824</v>
      </c>
      <c r="D2228" t="s">
        <v>52</v>
      </c>
      <c r="E2228" t="s">
        <v>60</v>
      </c>
      <c r="F2228" t="s">
        <v>4825</v>
      </c>
      <c r="G2228" t="str">
        <f>"00555233"</f>
        <v>00555233</v>
      </c>
      <c r="H2228">
        <v>43.2</v>
      </c>
      <c r="I2228">
        <v>0</v>
      </c>
      <c r="L2228">
        <v>4</v>
      </c>
      <c r="M2228">
        <v>4</v>
      </c>
      <c r="N2228">
        <v>4</v>
      </c>
      <c r="O2228">
        <v>0</v>
      </c>
      <c r="P2228">
        <v>51.2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0</v>
      </c>
      <c r="AA2228">
        <v>0</v>
      </c>
      <c r="AC2228">
        <v>51.2</v>
      </c>
    </row>
    <row r="2229" spans="1:29">
      <c r="A2229">
        <v>2222</v>
      </c>
      <c r="B2229">
        <v>711</v>
      </c>
      <c r="C2229" t="s">
        <v>4806</v>
      </c>
      <c r="D2229" t="s">
        <v>4807</v>
      </c>
      <c r="E2229" t="s">
        <v>134</v>
      </c>
      <c r="F2229" t="s">
        <v>4808</v>
      </c>
      <c r="G2229" t="str">
        <f>"00856414"</f>
        <v>00856414</v>
      </c>
      <c r="H2229">
        <v>43.2</v>
      </c>
      <c r="I2229">
        <v>0</v>
      </c>
      <c r="J2229">
        <v>8</v>
      </c>
      <c r="M2229">
        <v>8</v>
      </c>
      <c r="N2229">
        <v>0</v>
      </c>
      <c r="O2229">
        <v>0</v>
      </c>
      <c r="P2229">
        <v>51.2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0</v>
      </c>
      <c r="Z2229">
        <v>0</v>
      </c>
      <c r="AA2229">
        <v>0</v>
      </c>
      <c r="AC2229">
        <v>51.2</v>
      </c>
    </row>
    <row r="2230" spans="1:29">
      <c r="A2230">
        <v>2223</v>
      </c>
      <c r="B2230">
        <v>2723</v>
      </c>
      <c r="C2230" t="s">
        <v>4819</v>
      </c>
      <c r="D2230" t="s">
        <v>27</v>
      </c>
      <c r="E2230" t="s">
        <v>115</v>
      </c>
      <c r="F2230" t="s">
        <v>4820</v>
      </c>
      <c r="G2230" t="str">
        <f>"00557293"</f>
        <v>00557293</v>
      </c>
      <c r="H2230">
        <v>43.2</v>
      </c>
      <c r="I2230">
        <v>0</v>
      </c>
      <c r="L2230">
        <v>4</v>
      </c>
      <c r="M2230">
        <v>4</v>
      </c>
      <c r="N2230">
        <v>4</v>
      </c>
      <c r="O2230">
        <v>0</v>
      </c>
      <c r="P2230">
        <v>51.2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0</v>
      </c>
      <c r="AA2230">
        <v>0</v>
      </c>
      <c r="AC2230">
        <v>51.2</v>
      </c>
    </row>
    <row r="2231" spans="1:29">
      <c r="A2231">
        <v>2224</v>
      </c>
      <c r="B2231">
        <v>763</v>
      </c>
      <c r="C2231" t="s">
        <v>1404</v>
      </c>
      <c r="D2231" t="s">
        <v>1370</v>
      </c>
      <c r="E2231" t="s">
        <v>18</v>
      </c>
      <c r="F2231" t="s">
        <v>4818</v>
      </c>
      <c r="G2231" t="str">
        <f>"00855820"</f>
        <v>00855820</v>
      </c>
      <c r="H2231">
        <v>43.2</v>
      </c>
      <c r="I2231">
        <v>0</v>
      </c>
      <c r="L2231">
        <v>4</v>
      </c>
      <c r="M2231">
        <v>4</v>
      </c>
      <c r="N2231">
        <v>4</v>
      </c>
      <c r="O2231">
        <v>0</v>
      </c>
      <c r="P2231">
        <v>51.2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0</v>
      </c>
      <c r="Z2231">
        <v>0</v>
      </c>
      <c r="AA2231">
        <v>0</v>
      </c>
      <c r="AC2231">
        <v>51.2</v>
      </c>
    </row>
    <row r="2232" spans="1:29">
      <c r="A2232">
        <v>2225</v>
      </c>
      <c r="B2232">
        <v>835</v>
      </c>
      <c r="C2232" t="s">
        <v>1030</v>
      </c>
      <c r="D2232" t="s">
        <v>4816</v>
      </c>
      <c r="E2232" t="s">
        <v>60</v>
      </c>
      <c r="F2232" t="s">
        <v>4817</v>
      </c>
      <c r="G2232" t="str">
        <f>"00201365"</f>
        <v>00201365</v>
      </c>
      <c r="H2232">
        <v>43.2</v>
      </c>
      <c r="I2232">
        <v>0</v>
      </c>
      <c r="L2232">
        <v>4</v>
      </c>
      <c r="M2232">
        <v>4</v>
      </c>
      <c r="N2232">
        <v>4</v>
      </c>
      <c r="O2232">
        <v>0</v>
      </c>
      <c r="P2232">
        <v>51.2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v>0</v>
      </c>
      <c r="AA2232">
        <v>0</v>
      </c>
      <c r="AC2232">
        <v>51.2</v>
      </c>
    </row>
    <row r="2233" spans="1:29">
      <c r="A2233">
        <v>2226</v>
      </c>
      <c r="B2233">
        <v>3388</v>
      </c>
      <c r="C2233" t="s">
        <v>4830</v>
      </c>
      <c r="D2233" t="s">
        <v>1299</v>
      </c>
      <c r="E2233" t="s">
        <v>252</v>
      </c>
      <c r="F2233" t="s">
        <v>4831</v>
      </c>
      <c r="G2233" t="str">
        <f>"00859605"</f>
        <v>00859605</v>
      </c>
      <c r="H2233">
        <v>39.200000000000003</v>
      </c>
      <c r="I2233">
        <v>10</v>
      </c>
      <c r="M2233">
        <v>0</v>
      </c>
      <c r="N2233">
        <v>0</v>
      </c>
      <c r="O2233">
        <v>2</v>
      </c>
      <c r="P2233">
        <v>51.2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v>0</v>
      </c>
      <c r="AA2233">
        <v>0</v>
      </c>
      <c r="AC2233">
        <v>51.2</v>
      </c>
    </row>
    <row r="2234" spans="1:29">
      <c r="A2234">
        <v>2227</v>
      </c>
      <c r="B2234">
        <v>1057</v>
      </c>
      <c r="C2234" t="s">
        <v>4828</v>
      </c>
      <c r="D2234" t="s">
        <v>52</v>
      </c>
      <c r="E2234" t="s">
        <v>79</v>
      </c>
      <c r="F2234" t="s">
        <v>4829</v>
      </c>
      <c r="G2234" t="str">
        <f>"00828205"</f>
        <v>00828205</v>
      </c>
      <c r="H2234">
        <v>39.200000000000003</v>
      </c>
      <c r="I2234">
        <v>10</v>
      </c>
      <c r="M2234">
        <v>0</v>
      </c>
      <c r="N2234">
        <v>0</v>
      </c>
      <c r="O2234">
        <v>2</v>
      </c>
      <c r="P2234">
        <v>51.2</v>
      </c>
      <c r="Q2234">
        <v>0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0</v>
      </c>
      <c r="Z2234">
        <v>0</v>
      </c>
      <c r="AA2234">
        <v>0</v>
      </c>
      <c r="AC2234">
        <v>51.2</v>
      </c>
    </row>
    <row r="2235" spans="1:29">
      <c r="A2235">
        <v>2228</v>
      </c>
      <c r="B2235">
        <v>3799</v>
      </c>
      <c r="C2235" t="s">
        <v>4832</v>
      </c>
      <c r="D2235" t="s">
        <v>784</v>
      </c>
      <c r="E2235" t="s">
        <v>4833</v>
      </c>
      <c r="F2235" t="s">
        <v>4834</v>
      </c>
      <c r="G2235" t="str">
        <f>"00453700"</f>
        <v>00453700</v>
      </c>
      <c r="H2235">
        <v>37.200000000000003</v>
      </c>
      <c r="I2235">
        <v>0</v>
      </c>
      <c r="M2235">
        <v>0</v>
      </c>
      <c r="N2235">
        <v>4</v>
      </c>
      <c r="O2235">
        <v>2</v>
      </c>
      <c r="P2235">
        <v>43.2</v>
      </c>
      <c r="Q2235">
        <v>8</v>
      </c>
      <c r="R2235">
        <v>8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8</v>
      </c>
      <c r="Z2235">
        <v>0</v>
      </c>
      <c r="AA2235">
        <v>0</v>
      </c>
      <c r="AC2235">
        <v>51.2</v>
      </c>
    </row>
    <row r="2236" spans="1:29">
      <c r="A2236">
        <v>2229</v>
      </c>
      <c r="B2236">
        <v>3024</v>
      </c>
      <c r="C2236" t="s">
        <v>4835</v>
      </c>
      <c r="D2236" t="s">
        <v>24</v>
      </c>
      <c r="E2236" t="s">
        <v>36</v>
      </c>
      <c r="F2236" t="s">
        <v>4836</v>
      </c>
      <c r="G2236" t="str">
        <f>"00074919"</f>
        <v>00074919</v>
      </c>
      <c r="H2236">
        <v>40</v>
      </c>
      <c r="I2236">
        <v>0</v>
      </c>
      <c r="L2236">
        <v>4</v>
      </c>
      <c r="M2236">
        <v>4</v>
      </c>
      <c r="N2236">
        <v>4</v>
      </c>
      <c r="O2236">
        <v>0</v>
      </c>
      <c r="P2236">
        <v>48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0</v>
      </c>
      <c r="Z2236">
        <v>3</v>
      </c>
      <c r="AA2236">
        <v>0</v>
      </c>
      <c r="AC2236">
        <v>51</v>
      </c>
    </row>
    <row r="2237" spans="1:29">
      <c r="A2237">
        <v>2230</v>
      </c>
      <c r="B2237">
        <v>2597</v>
      </c>
      <c r="C2237" t="s">
        <v>4837</v>
      </c>
      <c r="D2237" t="s">
        <v>4838</v>
      </c>
      <c r="E2237" t="s">
        <v>227</v>
      </c>
      <c r="F2237" t="s">
        <v>4839</v>
      </c>
      <c r="G2237" t="str">
        <f>"00858675"</f>
        <v>00858675</v>
      </c>
      <c r="H2237">
        <v>36</v>
      </c>
      <c r="I2237">
        <v>0</v>
      </c>
      <c r="L2237">
        <v>8</v>
      </c>
      <c r="M2237">
        <v>8</v>
      </c>
      <c r="N2237">
        <v>4</v>
      </c>
      <c r="O2237">
        <v>0</v>
      </c>
      <c r="P2237">
        <v>48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0</v>
      </c>
      <c r="Z2237">
        <v>3</v>
      </c>
      <c r="AA2237">
        <v>0</v>
      </c>
      <c r="AC2237">
        <v>51</v>
      </c>
    </row>
    <row r="2238" spans="1:29">
      <c r="A2238">
        <v>2231</v>
      </c>
      <c r="B2238">
        <v>4581</v>
      </c>
      <c r="C2238" t="s">
        <v>4840</v>
      </c>
      <c r="D2238" t="s">
        <v>2130</v>
      </c>
      <c r="E2238" t="s">
        <v>66</v>
      </c>
      <c r="F2238" t="s">
        <v>4841</v>
      </c>
      <c r="G2238" t="str">
        <f>"00035916"</f>
        <v>00035916</v>
      </c>
      <c r="H2238">
        <v>33</v>
      </c>
      <c r="I2238">
        <v>10</v>
      </c>
      <c r="L2238">
        <v>4</v>
      </c>
      <c r="M2238">
        <v>4</v>
      </c>
      <c r="N2238">
        <v>4</v>
      </c>
      <c r="O2238">
        <v>0</v>
      </c>
      <c r="P2238">
        <v>51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  <c r="AA2238">
        <v>0</v>
      </c>
      <c r="AC2238">
        <v>51</v>
      </c>
    </row>
    <row r="2239" spans="1:29">
      <c r="A2239">
        <v>2232</v>
      </c>
      <c r="B2239">
        <v>3658</v>
      </c>
      <c r="C2239" t="s">
        <v>4060</v>
      </c>
      <c r="D2239" t="s">
        <v>31</v>
      </c>
      <c r="E2239" t="s">
        <v>28</v>
      </c>
      <c r="F2239" t="s">
        <v>4842</v>
      </c>
      <c r="G2239" t="str">
        <f>"00533244"</f>
        <v>00533244</v>
      </c>
      <c r="H2239">
        <v>30.92</v>
      </c>
      <c r="I2239">
        <v>10</v>
      </c>
      <c r="M2239">
        <v>0</v>
      </c>
      <c r="N2239">
        <v>4</v>
      </c>
      <c r="O2239">
        <v>0</v>
      </c>
      <c r="P2239">
        <v>44.92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v>6</v>
      </c>
      <c r="AA2239">
        <v>0</v>
      </c>
      <c r="AC2239">
        <v>50.92</v>
      </c>
    </row>
    <row r="2240" spans="1:29">
      <c r="A2240">
        <v>2233</v>
      </c>
      <c r="B2240">
        <v>77</v>
      </c>
      <c r="C2240" t="s">
        <v>4843</v>
      </c>
      <c r="D2240" t="s">
        <v>86</v>
      </c>
      <c r="E2240" t="s">
        <v>766</v>
      </c>
      <c r="F2240" t="s">
        <v>4844</v>
      </c>
      <c r="G2240" t="str">
        <f>"00458340"</f>
        <v>00458340</v>
      </c>
      <c r="H2240">
        <v>33.880000000000003</v>
      </c>
      <c r="I2240">
        <v>0</v>
      </c>
      <c r="L2240">
        <v>4</v>
      </c>
      <c r="M2240">
        <v>4</v>
      </c>
      <c r="N2240">
        <v>4</v>
      </c>
      <c r="O2240">
        <v>0</v>
      </c>
      <c r="P2240">
        <v>41.88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9</v>
      </c>
      <c r="AA2240">
        <v>0</v>
      </c>
      <c r="AC2240">
        <v>50.88</v>
      </c>
    </row>
    <row r="2241" spans="1:29">
      <c r="A2241">
        <v>2234</v>
      </c>
      <c r="B2241">
        <v>2459</v>
      </c>
      <c r="C2241" t="s">
        <v>409</v>
      </c>
      <c r="D2241" t="s">
        <v>185</v>
      </c>
      <c r="E2241" t="s">
        <v>79</v>
      </c>
      <c r="F2241" t="s">
        <v>4845</v>
      </c>
      <c r="G2241" t="str">
        <f>"00509211"</f>
        <v>00509211</v>
      </c>
      <c r="H2241">
        <v>7.2</v>
      </c>
      <c r="I2241">
        <v>0</v>
      </c>
      <c r="M2241">
        <v>0</v>
      </c>
      <c r="N2241">
        <v>4</v>
      </c>
      <c r="O2241">
        <v>0</v>
      </c>
      <c r="P2241">
        <v>11.2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6</v>
      </c>
      <c r="AA2241">
        <v>33.6</v>
      </c>
      <c r="AC2241">
        <v>50.8</v>
      </c>
    </row>
    <row r="2242" spans="1:29">
      <c r="A2242">
        <v>2235</v>
      </c>
      <c r="B2242">
        <v>4917</v>
      </c>
      <c r="C2242" t="s">
        <v>4846</v>
      </c>
      <c r="D2242" t="s">
        <v>4847</v>
      </c>
      <c r="E2242" t="s">
        <v>115</v>
      </c>
      <c r="F2242" t="s">
        <v>4848</v>
      </c>
      <c r="G2242" t="str">
        <f>"00531478"</f>
        <v>00531478</v>
      </c>
      <c r="H2242">
        <v>28.8</v>
      </c>
      <c r="I2242">
        <v>10</v>
      </c>
      <c r="M2242">
        <v>0</v>
      </c>
      <c r="N2242">
        <v>4</v>
      </c>
      <c r="O2242">
        <v>2</v>
      </c>
      <c r="P2242">
        <v>44.8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0</v>
      </c>
      <c r="Z2242">
        <v>6</v>
      </c>
      <c r="AA2242">
        <v>0</v>
      </c>
      <c r="AC2242">
        <v>50.8</v>
      </c>
    </row>
    <row r="2243" spans="1:29">
      <c r="A2243">
        <v>2236</v>
      </c>
      <c r="B2243">
        <v>2702</v>
      </c>
      <c r="C2243" t="s">
        <v>4849</v>
      </c>
      <c r="D2243" t="s">
        <v>39</v>
      </c>
      <c r="E2243" t="s">
        <v>28</v>
      </c>
      <c r="F2243" t="s">
        <v>4850</v>
      </c>
      <c r="G2243" t="str">
        <f>"00491588"</f>
        <v>00491588</v>
      </c>
      <c r="H2243">
        <v>28.8</v>
      </c>
      <c r="I2243">
        <v>10</v>
      </c>
      <c r="M2243">
        <v>0</v>
      </c>
      <c r="N2243">
        <v>0</v>
      </c>
      <c r="O2243">
        <v>0</v>
      </c>
      <c r="P2243">
        <v>38.799999999999997</v>
      </c>
      <c r="Q2243">
        <v>6</v>
      </c>
      <c r="R2243">
        <v>6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6</v>
      </c>
      <c r="Z2243">
        <v>6</v>
      </c>
      <c r="AA2243">
        <v>0</v>
      </c>
      <c r="AC2243">
        <v>50.8</v>
      </c>
    </row>
    <row r="2244" spans="1:29">
      <c r="A2244">
        <v>2237</v>
      </c>
      <c r="B2244">
        <v>1277</v>
      </c>
      <c r="C2244" t="s">
        <v>4851</v>
      </c>
      <c r="D2244" t="s">
        <v>145</v>
      </c>
      <c r="E2244" t="s">
        <v>4852</v>
      </c>
      <c r="F2244" t="s">
        <v>4853</v>
      </c>
      <c r="G2244" t="str">
        <f>"00543833"</f>
        <v>00543833</v>
      </c>
      <c r="H2244">
        <v>36.799999999999997</v>
      </c>
      <c r="I2244">
        <v>10</v>
      </c>
      <c r="L2244">
        <v>4</v>
      </c>
      <c r="M2244">
        <v>4</v>
      </c>
      <c r="N2244">
        <v>0</v>
      </c>
      <c r="O2244">
        <v>0</v>
      </c>
      <c r="P2244">
        <v>50.8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0</v>
      </c>
      <c r="AC2244">
        <v>50.8</v>
      </c>
    </row>
    <row r="2245" spans="1:29">
      <c r="A2245">
        <v>2238</v>
      </c>
      <c r="B2245">
        <v>1106</v>
      </c>
      <c r="C2245" t="s">
        <v>4855</v>
      </c>
      <c r="D2245" t="s">
        <v>164</v>
      </c>
      <c r="E2245" t="s">
        <v>564</v>
      </c>
      <c r="F2245" t="s">
        <v>4856</v>
      </c>
      <c r="G2245" t="str">
        <f>"00478269"</f>
        <v>00478269</v>
      </c>
      <c r="H2245">
        <v>36.799999999999997</v>
      </c>
      <c r="I2245">
        <v>0</v>
      </c>
      <c r="J2245">
        <v>8</v>
      </c>
      <c r="M2245">
        <v>8</v>
      </c>
      <c r="N2245">
        <v>4</v>
      </c>
      <c r="O2245">
        <v>2</v>
      </c>
      <c r="P2245">
        <v>50.8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0</v>
      </c>
      <c r="AC2245">
        <v>50.8</v>
      </c>
    </row>
    <row r="2246" spans="1:29">
      <c r="A2246">
        <v>2239</v>
      </c>
      <c r="B2246">
        <v>4423</v>
      </c>
      <c r="C2246" t="s">
        <v>4857</v>
      </c>
      <c r="D2246" t="s">
        <v>95</v>
      </c>
      <c r="E2246" t="s">
        <v>36</v>
      </c>
      <c r="F2246" t="s">
        <v>4858</v>
      </c>
      <c r="G2246" t="str">
        <f>"201406012972"</f>
        <v>201406012972</v>
      </c>
      <c r="H2246">
        <v>36.799999999999997</v>
      </c>
      <c r="I2246">
        <v>0</v>
      </c>
      <c r="J2246">
        <v>8</v>
      </c>
      <c r="M2246">
        <v>8</v>
      </c>
      <c r="N2246">
        <v>4</v>
      </c>
      <c r="O2246">
        <v>2</v>
      </c>
      <c r="P2246">
        <v>50.8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v>0</v>
      </c>
      <c r="AA2246">
        <v>0</v>
      </c>
      <c r="AC2246">
        <v>50.8</v>
      </c>
    </row>
    <row r="2247" spans="1:29">
      <c r="A2247">
        <v>2240</v>
      </c>
      <c r="B2247">
        <v>3896</v>
      </c>
      <c r="C2247" t="s">
        <v>888</v>
      </c>
      <c r="D2247" t="s">
        <v>739</v>
      </c>
      <c r="E2247" t="s">
        <v>187</v>
      </c>
      <c r="F2247" t="s">
        <v>4854</v>
      </c>
      <c r="G2247" t="str">
        <f>"00324876"</f>
        <v>00324876</v>
      </c>
      <c r="H2247">
        <v>36.799999999999997</v>
      </c>
      <c r="I2247">
        <v>10</v>
      </c>
      <c r="M2247">
        <v>0</v>
      </c>
      <c r="N2247">
        <v>4</v>
      </c>
      <c r="O2247">
        <v>0</v>
      </c>
      <c r="P2247">
        <v>50.8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0</v>
      </c>
      <c r="AC2247">
        <v>50.8</v>
      </c>
    </row>
    <row r="2248" spans="1:29">
      <c r="A2248">
        <v>2241</v>
      </c>
      <c r="B2248">
        <v>559</v>
      </c>
      <c r="C2248" t="s">
        <v>4859</v>
      </c>
      <c r="D2248" t="s">
        <v>164</v>
      </c>
      <c r="E2248" t="s">
        <v>237</v>
      </c>
      <c r="F2248" t="s">
        <v>4860</v>
      </c>
      <c r="G2248" t="str">
        <f>"00525684"</f>
        <v>00525684</v>
      </c>
      <c r="H2248">
        <v>26.8</v>
      </c>
      <c r="I2248">
        <v>10</v>
      </c>
      <c r="J2248">
        <v>8</v>
      </c>
      <c r="M2248">
        <v>8</v>
      </c>
      <c r="N2248">
        <v>4</v>
      </c>
      <c r="O2248">
        <v>2</v>
      </c>
      <c r="P2248">
        <v>50.8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C2248">
        <v>50.8</v>
      </c>
    </row>
    <row r="2249" spans="1:29">
      <c r="A2249">
        <v>2242</v>
      </c>
      <c r="B2249">
        <v>1234</v>
      </c>
      <c r="C2249" t="s">
        <v>4636</v>
      </c>
      <c r="D2249" t="s">
        <v>336</v>
      </c>
      <c r="E2249" t="s">
        <v>89</v>
      </c>
      <c r="F2249" t="s">
        <v>4861</v>
      </c>
      <c r="G2249" t="str">
        <f>"201412000059"</f>
        <v>201412000059</v>
      </c>
      <c r="H2249">
        <v>28.8</v>
      </c>
      <c r="I2249">
        <v>0</v>
      </c>
      <c r="K2249">
        <v>6</v>
      </c>
      <c r="M2249">
        <v>6</v>
      </c>
      <c r="N2249">
        <v>4</v>
      </c>
      <c r="O2249">
        <v>0</v>
      </c>
      <c r="P2249">
        <v>38.799999999999997</v>
      </c>
      <c r="Q2249">
        <v>12</v>
      </c>
      <c r="R2249">
        <v>12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12</v>
      </c>
      <c r="Z2249">
        <v>0</v>
      </c>
      <c r="AA2249">
        <v>0</v>
      </c>
      <c r="AC2249">
        <v>50.8</v>
      </c>
    </row>
    <row r="2250" spans="1:29">
      <c r="A2250">
        <v>2243</v>
      </c>
      <c r="B2250">
        <v>1955</v>
      </c>
      <c r="C2250" t="s">
        <v>4862</v>
      </c>
      <c r="D2250" t="s">
        <v>276</v>
      </c>
      <c r="E2250" t="s">
        <v>644</v>
      </c>
      <c r="F2250" t="s">
        <v>4863</v>
      </c>
      <c r="G2250" t="str">
        <f>"201412003340"</f>
        <v>201412003340</v>
      </c>
      <c r="H2250">
        <v>28.8</v>
      </c>
      <c r="I2250">
        <v>0</v>
      </c>
      <c r="M2250">
        <v>0</v>
      </c>
      <c r="N2250">
        <v>4</v>
      </c>
      <c r="O2250">
        <v>2</v>
      </c>
      <c r="P2250">
        <v>34.799999999999997</v>
      </c>
      <c r="Q2250">
        <v>16</v>
      </c>
      <c r="R2250">
        <v>16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16</v>
      </c>
      <c r="Z2250">
        <v>0</v>
      </c>
      <c r="AA2250">
        <v>0</v>
      </c>
      <c r="AC2250">
        <v>50.8</v>
      </c>
    </row>
    <row r="2251" spans="1:29">
      <c r="A2251">
        <v>2244</v>
      </c>
      <c r="B2251">
        <v>2449</v>
      </c>
      <c r="C2251" t="s">
        <v>4864</v>
      </c>
      <c r="D2251" t="s">
        <v>164</v>
      </c>
      <c r="E2251" t="s">
        <v>66</v>
      </c>
      <c r="F2251" t="s">
        <v>4865</v>
      </c>
      <c r="G2251" t="str">
        <f>"00516372"</f>
        <v>00516372</v>
      </c>
      <c r="H2251">
        <v>28.8</v>
      </c>
      <c r="I2251">
        <v>0</v>
      </c>
      <c r="M2251">
        <v>0</v>
      </c>
      <c r="N2251">
        <v>4</v>
      </c>
      <c r="O2251">
        <v>2</v>
      </c>
      <c r="P2251">
        <v>34.799999999999997</v>
      </c>
      <c r="Q2251">
        <v>16</v>
      </c>
      <c r="R2251">
        <v>16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16</v>
      </c>
      <c r="Z2251">
        <v>0</v>
      </c>
      <c r="AA2251">
        <v>0</v>
      </c>
      <c r="AC2251">
        <v>50.8</v>
      </c>
    </row>
    <row r="2252" spans="1:29">
      <c r="A2252">
        <v>2245</v>
      </c>
      <c r="B2252">
        <v>3209</v>
      </c>
      <c r="C2252" t="s">
        <v>4866</v>
      </c>
      <c r="D2252" t="s">
        <v>465</v>
      </c>
      <c r="E2252" t="s">
        <v>79</v>
      </c>
      <c r="F2252" t="s">
        <v>4867</v>
      </c>
      <c r="G2252" t="str">
        <f>"00273027"</f>
        <v>00273027</v>
      </c>
      <c r="H2252">
        <v>28.8</v>
      </c>
      <c r="I2252">
        <v>0</v>
      </c>
      <c r="M2252">
        <v>0</v>
      </c>
      <c r="N2252">
        <v>4</v>
      </c>
      <c r="O2252">
        <v>0</v>
      </c>
      <c r="P2252">
        <v>32.799999999999997</v>
      </c>
      <c r="Q2252">
        <v>18</v>
      </c>
      <c r="R2252">
        <v>18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18</v>
      </c>
      <c r="Z2252">
        <v>0</v>
      </c>
      <c r="AA2252">
        <v>0</v>
      </c>
      <c r="AC2252">
        <v>50.8</v>
      </c>
    </row>
    <row r="2253" spans="1:29">
      <c r="A2253">
        <v>2246</v>
      </c>
      <c r="B2253">
        <v>734</v>
      </c>
      <c r="C2253" t="s">
        <v>4868</v>
      </c>
      <c r="D2253" t="s">
        <v>20</v>
      </c>
      <c r="E2253" t="s">
        <v>2589</v>
      </c>
      <c r="F2253" t="s">
        <v>4869</v>
      </c>
      <c r="G2253" t="str">
        <f>"201604002786"</f>
        <v>201604002786</v>
      </c>
      <c r="H2253">
        <v>27.68</v>
      </c>
      <c r="I2253">
        <v>10</v>
      </c>
      <c r="M2253">
        <v>0</v>
      </c>
      <c r="N2253">
        <v>4</v>
      </c>
      <c r="O2253">
        <v>0</v>
      </c>
      <c r="P2253">
        <v>41.68</v>
      </c>
      <c r="Q2253">
        <v>0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0</v>
      </c>
      <c r="Z2253">
        <v>9</v>
      </c>
      <c r="AA2253">
        <v>0</v>
      </c>
      <c r="AC2253">
        <v>50.68</v>
      </c>
    </row>
    <row r="2254" spans="1:29">
      <c r="A2254">
        <v>2247</v>
      </c>
      <c r="B2254">
        <v>431</v>
      </c>
      <c r="C2254" t="s">
        <v>342</v>
      </c>
      <c r="D2254" t="s">
        <v>4870</v>
      </c>
      <c r="E2254" t="s">
        <v>2324</v>
      </c>
      <c r="F2254" t="s">
        <v>4871</v>
      </c>
      <c r="G2254" t="str">
        <f>"00530295"</f>
        <v>00530295</v>
      </c>
      <c r="H2254">
        <v>15.68</v>
      </c>
      <c r="I2254">
        <v>10</v>
      </c>
      <c r="L2254">
        <v>4</v>
      </c>
      <c r="M2254">
        <v>4</v>
      </c>
      <c r="N2254">
        <v>4</v>
      </c>
      <c r="O2254">
        <v>0</v>
      </c>
      <c r="P2254">
        <v>33.68</v>
      </c>
      <c r="Q2254">
        <v>11</v>
      </c>
      <c r="R2254">
        <v>11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11</v>
      </c>
      <c r="Z2254">
        <v>6</v>
      </c>
      <c r="AA2254">
        <v>0</v>
      </c>
      <c r="AC2254">
        <v>50.68</v>
      </c>
    </row>
    <row r="2255" spans="1:29">
      <c r="A2255">
        <v>2248</v>
      </c>
      <c r="B2255">
        <v>4475</v>
      </c>
      <c r="C2255" t="s">
        <v>4872</v>
      </c>
      <c r="D2255" t="s">
        <v>24</v>
      </c>
      <c r="E2255" t="s">
        <v>436</v>
      </c>
      <c r="F2255" t="s">
        <v>4873</v>
      </c>
      <c r="G2255" t="str">
        <f>"00859234"</f>
        <v>00859234</v>
      </c>
      <c r="H2255">
        <v>39.68</v>
      </c>
      <c r="I2255">
        <v>0</v>
      </c>
      <c r="L2255">
        <v>4</v>
      </c>
      <c r="M2255">
        <v>4</v>
      </c>
      <c r="N2255">
        <v>4</v>
      </c>
      <c r="O2255">
        <v>0</v>
      </c>
      <c r="P2255">
        <v>47.68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3</v>
      </c>
      <c r="AA2255">
        <v>0</v>
      </c>
      <c r="AC2255">
        <v>50.68</v>
      </c>
    </row>
    <row r="2256" spans="1:29">
      <c r="A2256">
        <v>2249</v>
      </c>
      <c r="B2256">
        <v>4538</v>
      </c>
      <c r="C2256" t="s">
        <v>4874</v>
      </c>
      <c r="D2256" t="s">
        <v>102</v>
      </c>
      <c r="E2256" t="s">
        <v>337</v>
      </c>
      <c r="F2256" t="s">
        <v>4875</v>
      </c>
      <c r="G2256" t="str">
        <f>"00635449"</f>
        <v>00635449</v>
      </c>
      <c r="H2256">
        <v>35.64</v>
      </c>
      <c r="I2256">
        <v>0</v>
      </c>
      <c r="J2256">
        <v>8</v>
      </c>
      <c r="M2256">
        <v>8</v>
      </c>
      <c r="N2256">
        <v>4</v>
      </c>
      <c r="O2256">
        <v>0</v>
      </c>
      <c r="P2256">
        <v>47.64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0</v>
      </c>
      <c r="Y2256">
        <v>0</v>
      </c>
      <c r="Z2256">
        <v>3</v>
      </c>
      <c r="AA2256">
        <v>0</v>
      </c>
      <c r="AC2256">
        <v>50.64</v>
      </c>
    </row>
    <row r="2257" spans="1:29">
      <c r="A2257">
        <v>2250</v>
      </c>
      <c r="B2257">
        <v>1601</v>
      </c>
      <c r="C2257" t="s">
        <v>4876</v>
      </c>
      <c r="D2257" t="s">
        <v>141</v>
      </c>
      <c r="E2257" t="s">
        <v>36</v>
      </c>
      <c r="F2257" t="s">
        <v>4877</v>
      </c>
      <c r="G2257" t="str">
        <f>"00498558"</f>
        <v>00498558</v>
      </c>
      <c r="H2257">
        <v>21.6</v>
      </c>
      <c r="I2257">
        <v>0</v>
      </c>
      <c r="L2257">
        <v>4</v>
      </c>
      <c r="M2257">
        <v>4</v>
      </c>
      <c r="N2257">
        <v>4</v>
      </c>
      <c r="O2257">
        <v>2</v>
      </c>
      <c r="P2257">
        <v>31.6</v>
      </c>
      <c r="Q2257">
        <v>13</v>
      </c>
      <c r="R2257">
        <v>13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13</v>
      </c>
      <c r="Z2257">
        <v>6</v>
      </c>
      <c r="AA2257">
        <v>0</v>
      </c>
      <c r="AC2257">
        <v>50.6</v>
      </c>
    </row>
    <row r="2258" spans="1:29">
      <c r="A2258">
        <v>2251</v>
      </c>
      <c r="B2258">
        <v>3217</v>
      </c>
      <c r="C2258" t="s">
        <v>4878</v>
      </c>
      <c r="D2258" t="s">
        <v>175</v>
      </c>
      <c r="E2258" t="s">
        <v>134</v>
      </c>
      <c r="F2258" t="s">
        <v>4879</v>
      </c>
      <c r="G2258" t="str">
        <f>"00861426"</f>
        <v>00861426</v>
      </c>
      <c r="H2258">
        <v>39.6</v>
      </c>
      <c r="I2258">
        <v>0</v>
      </c>
      <c r="L2258">
        <v>4</v>
      </c>
      <c r="M2258">
        <v>4</v>
      </c>
      <c r="N2258">
        <v>4</v>
      </c>
      <c r="O2258">
        <v>0</v>
      </c>
      <c r="P2258">
        <v>47.6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0</v>
      </c>
      <c r="Z2258">
        <v>3</v>
      </c>
      <c r="AA2258">
        <v>0</v>
      </c>
      <c r="AC2258">
        <v>50.6</v>
      </c>
    </row>
    <row r="2259" spans="1:29">
      <c r="A2259">
        <v>2252</v>
      </c>
      <c r="B2259">
        <v>385</v>
      </c>
      <c r="C2259" t="s">
        <v>4880</v>
      </c>
      <c r="D2259" t="s">
        <v>251</v>
      </c>
      <c r="E2259" t="s">
        <v>32</v>
      </c>
      <c r="F2259" t="s">
        <v>4881</v>
      </c>
      <c r="G2259" t="str">
        <f>"00525401"</f>
        <v>00525401</v>
      </c>
      <c r="H2259">
        <v>21.6</v>
      </c>
      <c r="I2259">
        <v>0</v>
      </c>
      <c r="M2259">
        <v>0</v>
      </c>
      <c r="N2259">
        <v>4</v>
      </c>
      <c r="O2259">
        <v>2</v>
      </c>
      <c r="P2259">
        <v>27.6</v>
      </c>
      <c r="Q2259">
        <v>20</v>
      </c>
      <c r="R2259">
        <v>20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20</v>
      </c>
      <c r="Z2259">
        <v>3</v>
      </c>
      <c r="AA2259">
        <v>0</v>
      </c>
      <c r="AC2259">
        <v>50.6</v>
      </c>
    </row>
    <row r="2260" spans="1:29">
      <c r="A2260">
        <v>2253</v>
      </c>
      <c r="B2260">
        <v>2334</v>
      </c>
      <c r="C2260" t="s">
        <v>178</v>
      </c>
      <c r="D2260" t="s">
        <v>4882</v>
      </c>
      <c r="E2260" t="s">
        <v>134</v>
      </c>
      <c r="F2260" t="s">
        <v>4883</v>
      </c>
      <c r="G2260" t="str">
        <f>"00532311"</f>
        <v>00532311</v>
      </c>
      <c r="H2260">
        <v>21.6</v>
      </c>
      <c r="I2260">
        <v>0</v>
      </c>
      <c r="K2260">
        <v>6</v>
      </c>
      <c r="M2260">
        <v>6</v>
      </c>
      <c r="N2260">
        <v>4</v>
      </c>
      <c r="O2260">
        <v>2</v>
      </c>
      <c r="P2260">
        <v>33.6</v>
      </c>
      <c r="Q2260">
        <v>17</v>
      </c>
      <c r="R2260">
        <v>17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17</v>
      </c>
      <c r="Z2260">
        <v>0</v>
      </c>
      <c r="AA2260">
        <v>0</v>
      </c>
      <c r="AC2260">
        <v>50.6</v>
      </c>
    </row>
    <row r="2261" spans="1:29">
      <c r="A2261">
        <v>2254</v>
      </c>
      <c r="B2261">
        <v>1675</v>
      </c>
      <c r="C2261" t="s">
        <v>4884</v>
      </c>
      <c r="D2261" t="s">
        <v>52</v>
      </c>
      <c r="E2261" t="s">
        <v>79</v>
      </c>
      <c r="F2261" t="s">
        <v>4885</v>
      </c>
      <c r="G2261" t="str">
        <f>"00157024"</f>
        <v>00157024</v>
      </c>
      <c r="H2261">
        <v>38.56</v>
      </c>
      <c r="I2261">
        <v>0</v>
      </c>
      <c r="J2261">
        <v>8</v>
      </c>
      <c r="M2261">
        <v>8</v>
      </c>
      <c r="N2261">
        <v>4</v>
      </c>
      <c r="O2261">
        <v>0</v>
      </c>
      <c r="P2261">
        <v>50.56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0</v>
      </c>
      <c r="Z2261">
        <v>0</v>
      </c>
      <c r="AA2261">
        <v>0</v>
      </c>
      <c r="AC2261">
        <v>50.56</v>
      </c>
    </row>
    <row r="2262" spans="1:29">
      <c r="A2262">
        <v>2255</v>
      </c>
      <c r="B2262">
        <v>2655</v>
      </c>
      <c r="C2262" t="s">
        <v>747</v>
      </c>
      <c r="D2262" t="s">
        <v>739</v>
      </c>
      <c r="E2262" t="s">
        <v>1527</v>
      </c>
      <c r="F2262" t="s">
        <v>4886</v>
      </c>
      <c r="G2262" t="str">
        <f>"00862047"</f>
        <v>00862047</v>
      </c>
      <c r="H2262">
        <v>21.52</v>
      </c>
      <c r="I2262">
        <v>10</v>
      </c>
      <c r="M2262">
        <v>0</v>
      </c>
      <c r="N2262">
        <v>4</v>
      </c>
      <c r="O2262">
        <v>0</v>
      </c>
      <c r="P2262">
        <v>35.520000000000003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15</v>
      </c>
      <c r="AA2262">
        <v>0</v>
      </c>
      <c r="AC2262">
        <v>50.52</v>
      </c>
    </row>
    <row r="2263" spans="1:29">
      <c r="A2263">
        <v>2256</v>
      </c>
      <c r="B2263">
        <v>1872</v>
      </c>
      <c r="C2263" t="s">
        <v>4887</v>
      </c>
      <c r="D2263" t="s">
        <v>1509</v>
      </c>
      <c r="E2263" t="s">
        <v>79</v>
      </c>
      <c r="F2263" t="s">
        <v>4888</v>
      </c>
      <c r="G2263" t="str">
        <f>"00790653"</f>
        <v>00790653</v>
      </c>
      <c r="H2263">
        <v>27.48</v>
      </c>
      <c r="I2263">
        <v>10</v>
      </c>
      <c r="M2263">
        <v>0</v>
      </c>
      <c r="N2263">
        <v>4</v>
      </c>
      <c r="O2263">
        <v>0</v>
      </c>
      <c r="P2263">
        <v>41.48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0</v>
      </c>
      <c r="Z2263">
        <v>9</v>
      </c>
      <c r="AA2263">
        <v>0</v>
      </c>
      <c r="AC2263">
        <v>50.48</v>
      </c>
    </row>
    <row r="2264" spans="1:29">
      <c r="A2264">
        <v>2257</v>
      </c>
      <c r="B2264">
        <v>2266</v>
      </c>
      <c r="C2264" t="s">
        <v>4830</v>
      </c>
      <c r="D2264" t="s">
        <v>465</v>
      </c>
      <c r="E2264" t="s">
        <v>322</v>
      </c>
      <c r="F2264" t="s">
        <v>4889</v>
      </c>
      <c r="G2264" t="str">
        <f>"00519860"</f>
        <v>00519860</v>
      </c>
      <c r="H2264">
        <v>14.4</v>
      </c>
      <c r="I2264">
        <v>0</v>
      </c>
      <c r="M2264">
        <v>0</v>
      </c>
      <c r="N2264">
        <v>4</v>
      </c>
      <c r="O2264">
        <v>0</v>
      </c>
      <c r="P2264">
        <v>18.399999999999999</v>
      </c>
      <c r="Q2264">
        <v>23</v>
      </c>
      <c r="R2264">
        <v>23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0</v>
      </c>
      <c r="Y2264">
        <v>23</v>
      </c>
      <c r="Z2264">
        <v>9</v>
      </c>
      <c r="AA2264">
        <v>0</v>
      </c>
      <c r="AC2264">
        <v>50.4</v>
      </c>
    </row>
    <row r="2265" spans="1:29">
      <c r="A2265">
        <v>2258</v>
      </c>
      <c r="B2265">
        <v>1006</v>
      </c>
      <c r="C2265" t="s">
        <v>4893</v>
      </c>
      <c r="D2265" t="s">
        <v>24</v>
      </c>
      <c r="E2265" t="s">
        <v>410</v>
      </c>
      <c r="F2265" t="s">
        <v>4894</v>
      </c>
      <c r="G2265" t="str">
        <f>"00521436"</f>
        <v>00521436</v>
      </c>
      <c r="H2265">
        <v>50.4</v>
      </c>
      <c r="I2265">
        <v>0</v>
      </c>
      <c r="M2265">
        <v>0</v>
      </c>
      <c r="N2265">
        <v>0</v>
      </c>
      <c r="O2265">
        <v>0</v>
      </c>
      <c r="P2265">
        <v>50.4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v>0</v>
      </c>
      <c r="AA2265">
        <v>0</v>
      </c>
      <c r="AC2265">
        <v>50.4</v>
      </c>
    </row>
    <row r="2266" spans="1:29">
      <c r="A2266">
        <v>2259</v>
      </c>
      <c r="B2266">
        <v>4652</v>
      </c>
      <c r="C2266" t="s">
        <v>4906</v>
      </c>
      <c r="D2266" t="s">
        <v>145</v>
      </c>
      <c r="E2266" t="s">
        <v>134</v>
      </c>
      <c r="F2266" t="s">
        <v>4907</v>
      </c>
      <c r="G2266" t="str">
        <f>"00554817"</f>
        <v>00554817</v>
      </c>
      <c r="H2266">
        <v>50.4</v>
      </c>
      <c r="I2266">
        <v>0</v>
      </c>
      <c r="M2266">
        <v>0</v>
      </c>
      <c r="N2266">
        <v>0</v>
      </c>
      <c r="O2266">
        <v>0</v>
      </c>
      <c r="P2266">
        <v>50.4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v>0</v>
      </c>
      <c r="AA2266">
        <v>0</v>
      </c>
      <c r="AC2266">
        <v>50.4</v>
      </c>
    </row>
    <row r="2267" spans="1:29">
      <c r="A2267">
        <v>2260</v>
      </c>
      <c r="B2267">
        <v>1146</v>
      </c>
      <c r="C2267" t="s">
        <v>4902</v>
      </c>
      <c r="D2267" t="s">
        <v>4445</v>
      </c>
      <c r="E2267" t="s">
        <v>436</v>
      </c>
      <c r="F2267" t="s">
        <v>4903</v>
      </c>
      <c r="G2267" t="str">
        <f>"00854757"</f>
        <v>00854757</v>
      </c>
      <c r="H2267">
        <v>50.4</v>
      </c>
      <c r="I2267">
        <v>0</v>
      </c>
      <c r="M2267">
        <v>0</v>
      </c>
      <c r="N2267">
        <v>0</v>
      </c>
      <c r="O2267">
        <v>0</v>
      </c>
      <c r="P2267">
        <v>50.4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0</v>
      </c>
      <c r="AC2267">
        <v>50.4</v>
      </c>
    </row>
    <row r="2268" spans="1:29">
      <c r="A2268">
        <v>2261</v>
      </c>
      <c r="B2268">
        <v>4663</v>
      </c>
      <c r="C2268" t="s">
        <v>4890</v>
      </c>
      <c r="D2268" t="s">
        <v>4891</v>
      </c>
      <c r="E2268" t="s">
        <v>115</v>
      </c>
      <c r="F2268" t="s">
        <v>4892</v>
      </c>
      <c r="G2268" t="str">
        <f>"00865391"</f>
        <v>00865391</v>
      </c>
      <c r="H2268">
        <v>50.4</v>
      </c>
      <c r="I2268">
        <v>0</v>
      </c>
      <c r="M2268">
        <v>0</v>
      </c>
      <c r="N2268">
        <v>0</v>
      </c>
      <c r="O2268">
        <v>0</v>
      </c>
      <c r="P2268">
        <v>50.4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  <c r="AA2268">
        <v>0</v>
      </c>
      <c r="AC2268">
        <v>50.4</v>
      </c>
    </row>
    <row r="2269" spans="1:29">
      <c r="A2269">
        <v>2262</v>
      </c>
      <c r="B2269">
        <v>373</v>
      </c>
      <c r="C2269" t="s">
        <v>4899</v>
      </c>
      <c r="D2269" t="s">
        <v>210</v>
      </c>
      <c r="E2269" t="s">
        <v>4900</v>
      </c>
      <c r="F2269" t="s">
        <v>4901</v>
      </c>
      <c r="G2269" t="str">
        <f>"00857596"</f>
        <v>00857596</v>
      </c>
      <c r="H2269">
        <v>50.4</v>
      </c>
      <c r="I2269">
        <v>0</v>
      </c>
      <c r="M2269">
        <v>0</v>
      </c>
      <c r="N2269">
        <v>0</v>
      </c>
      <c r="O2269">
        <v>0</v>
      </c>
      <c r="P2269">
        <v>50.4</v>
      </c>
      <c r="Q2269">
        <v>0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0</v>
      </c>
      <c r="Z2269">
        <v>0</v>
      </c>
      <c r="AA2269">
        <v>0</v>
      </c>
      <c r="AC2269">
        <v>50.4</v>
      </c>
    </row>
    <row r="2270" spans="1:29">
      <c r="A2270">
        <v>2263</v>
      </c>
      <c r="B2270">
        <v>2308</v>
      </c>
      <c r="C2270" t="s">
        <v>4895</v>
      </c>
      <c r="D2270" t="s">
        <v>86</v>
      </c>
      <c r="E2270" t="s">
        <v>115</v>
      </c>
      <c r="F2270" t="s">
        <v>4896</v>
      </c>
      <c r="G2270" t="str">
        <f>"00259002"</f>
        <v>00259002</v>
      </c>
      <c r="H2270">
        <v>50.4</v>
      </c>
      <c r="I2270">
        <v>0</v>
      </c>
      <c r="M2270">
        <v>0</v>
      </c>
      <c r="N2270">
        <v>0</v>
      </c>
      <c r="O2270">
        <v>0</v>
      </c>
      <c r="P2270">
        <v>50.4</v>
      </c>
      <c r="Q2270">
        <v>0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0</v>
      </c>
      <c r="AC2270">
        <v>50.4</v>
      </c>
    </row>
    <row r="2271" spans="1:29">
      <c r="A2271">
        <v>2264</v>
      </c>
      <c r="B2271">
        <v>2127</v>
      </c>
      <c r="C2271" t="s">
        <v>257</v>
      </c>
      <c r="D2271" t="s">
        <v>4904</v>
      </c>
      <c r="E2271" t="s">
        <v>79</v>
      </c>
      <c r="F2271" t="s">
        <v>4905</v>
      </c>
      <c r="G2271" t="str">
        <f>"00691469"</f>
        <v>00691469</v>
      </c>
      <c r="H2271">
        <v>50.4</v>
      </c>
      <c r="I2271">
        <v>0</v>
      </c>
      <c r="M2271">
        <v>0</v>
      </c>
      <c r="N2271">
        <v>0</v>
      </c>
      <c r="O2271">
        <v>0</v>
      </c>
      <c r="P2271">
        <v>50.4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0</v>
      </c>
      <c r="Z2271">
        <v>0</v>
      </c>
      <c r="AA2271">
        <v>0</v>
      </c>
      <c r="AB2271" t="s">
        <v>128</v>
      </c>
      <c r="AC2271">
        <v>50.4</v>
      </c>
    </row>
    <row r="2272" spans="1:29">
      <c r="A2272">
        <v>2265</v>
      </c>
      <c r="B2272">
        <v>4528</v>
      </c>
      <c r="C2272" t="s">
        <v>4897</v>
      </c>
      <c r="D2272" t="s">
        <v>739</v>
      </c>
      <c r="E2272" t="s">
        <v>190</v>
      </c>
      <c r="F2272" t="s">
        <v>4898</v>
      </c>
      <c r="G2272" t="str">
        <f>"00860091"</f>
        <v>00860091</v>
      </c>
      <c r="H2272">
        <v>50.4</v>
      </c>
      <c r="I2272">
        <v>0</v>
      </c>
      <c r="M2272">
        <v>0</v>
      </c>
      <c r="N2272">
        <v>0</v>
      </c>
      <c r="O2272">
        <v>0</v>
      </c>
      <c r="P2272">
        <v>50.4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v>0</v>
      </c>
      <c r="AA2272">
        <v>0</v>
      </c>
      <c r="AC2272">
        <v>50.4</v>
      </c>
    </row>
    <row r="2273" spans="1:29">
      <c r="A2273">
        <v>2266</v>
      </c>
      <c r="B2273">
        <v>1203</v>
      </c>
      <c r="C2273" t="s">
        <v>428</v>
      </c>
      <c r="D2273" t="s">
        <v>52</v>
      </c>
      <c r="E2273" t="s">
        <v>15</v>
      </c>
      <c r="F2273" t="s">
        <v>4908</v>
      </c>
      <c r="G2273" t="str">
        <f>"00080509"</f>
        <v>00080509</v>
      </c>
      <c r="H2273">
        <v>38.4</v>
      </c>
      <c r="I2273">
        <v>0</v>
      </c>
      <c r="J2273">
        <v>8</v>
      </c>
      <c r="M2273">
        <v>8</v>
      </c>
      <c r="N2273">
        <v>4</v>
      </c>
      <c r="O2273">
        <v>0</v>
      </c>
      <c r="P2273">
        <v>50.4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  <c r="AA2273">
        <v>0</v>
      </c>
      <c r="AC2273">
        <v>50.4</v>
      </c>
    </row>
    <row r="2274" spans="1:29">
      <c r="A2274">
        <v>2267</v>
      </c>
      <c r="B2274">
        <v>243</v>
      </c>
      <c r="C2274" t="s">
        <v>2459</v>
      </c>
      <c r="D2274" t="s">
        <v>49</v>
      </c>
      <c r="E2274" t="s">
        <v>53</v>
      </c>
      <c r="F2274" t="s">
        <v>4909</v>
      </c>
      <c r="G2274" t="str">
        <f>"201401001272"</f>
        <v>201401001272</v>
      </c>
      <c r="H2274">
        <v>14.4</v>
      </c>
      <c r="I2274">
        <v>10</v>
      </c>
      <c r="L2274">
        <v>4</v>
      </c>
      <c r="M2274">
        <v>4</v>
      </c>
      <c r="N2274">
        <v>4</v>
      </c>
      <c r="O2274">
        <v>2</v>
      </c>
      <c r="P2274">
        <v>34.4</v>
      </c>
      <c r="Q2274">
        <v>16</v>
      </c>
      <c r="R2274">
        <v>16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16</v>
      </c>
      <c r="Z2274">
        <v>0</v>
      </c>
      <c r="AA2274">
        <v>0</v>
      </c>
      <c r="AC2274">
        <v>50.4</v>
      </c>
    </row>
    <row r="2275" spans="1:29">
      <c r="A2275">
        <v>2268</v>
      </c>
      <c r="B2275">
        <v>2481</v>
      </c>
      <c r="C2275" t="s">
        <v>4910</v>
      </c>
      <c r="D2275" t="s">
        <v>147</v>
      </c>
      <c r="E2275" t="s">
        <v>18</v>
      </c>
      <c r="F2275" t="s">
        <v>4911</v>
      </c>
      <c r="G2275" t="str">
        <f>"00502652"</f>
        <v>00502652</v>
      </c>
      <c r="H2275">
        <v>14.4</v>
      </c>
      <c r="I2275">
        <v>0</v>
      </c>
      <c r="J2275">
        <v>8</v>
      </c>
      <c r="M2275">
        <v>8</v>
      </c>
      <c r="N2275">
        <v>4</v>
      </c>
      <c r="O2275">
        <v>0</v>
      </c>
      <c r="P2275">
        <v>26.4</v>
      </c>
      <c r="Q2275">
        <v>24</v>
      </c>
      <c r="R2275">
        <v>24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24</v>
      </c>
      <c r="Z2275">
        <v>0</v>
      </c>
      <c r="AA2275">
        <v>0</v>
      </c>
      <c r="AC2275">
        <v>50.4</v>
      </c>
    </row>
    <row r="2276" spans="1:29">
      <c r="A2276">
        <v>2269</v>
      </c>
      <c r="B2276">
        <v>3886</v>
      </c>
      <c r="C2276" t="s">
        <v>4912</v>
      </c>
      <c r="D2276" t="s">
        <v>39</v>
      </c>
      <c r="E2276" t="s">
        <v>36</v>
      </c>
      <c r="F2276" t="s">
        <v>4913</v>
      </c>
      <c r="G2276" t="str">
        <f>"00530652"</f>
        <v>00530652</v>
      </c>
      <c r="H2276">
        <v>21.32</v>
      </c>
      <c r="I2276">
        <v>0</v>
      </c>
      <c r="M2276">
        <v>0</v>
      </c>
      <c r="N2276">
        <v>4</v>
      </c>
      <c r="O2276">
        <v>2</v>
      </c>
      <c r="P2276">
        <v>27.32</v>
      </c>
      <c r="Q2276">
        <v>14</v>
      </c>
      <c r="R2276">
        <v>14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14</v>
      </c>
      <c r="Z2276">
        <v>9</v>
      </c>
      <c r="AA2276">
        <v>0</v>
      </c>
      <c r="AC2276">
        <v>50.32</v>
      </c>
    </row>
    <row r="2277" spans="1:29">
      <c r="A2277">
        <v>2270</v>
      </c>
      <c r="B2277">
        <v>485</v>
      </c>
      <c r="C2277" t="s">
        <v>4914</v>
      </c>
      <c r="D2277" t="s">
        <v>159</v>
      </c>
      <c r="E2277" t="s">
        <v>3139</v>
      </c>
      <c r="F2277" t="s">
        <v>4915</v>
      </c>
      <c r="G2277" t="str">
        <f>"00475987"</f>
        <v>00475987</v>
      </c>
      <c r="H2277">
        <v>27.28</v>
      </c>
      <c r="I2277">
        <v>0</v>
      </c>
      <c r="L2277">
        <v>4</v>
      </c>
      <c r="M2277">
        <v>4</v>
      </c>
      <c r="N2277">
        <v>4</v>
      </c>
      <c r="O2277">
        <v>0</v>
      </c>
      <c r="P2277">
        <v>35.28</v>
      </c>
      <c r="Q2277">
        <v>6</v>
      </c>
      <c r="R2277">
        <v>6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6</v>
      </c>
      <c r="Z2277">
        <v>9</v>
      </c>
      <c r="AA2277">
        <v>0</v>
      </c>
      <c r="AC2277">
        <v>50.28</v>
      </c>
    </row>
    <row r="2278" spans="1:29">
      <c r="A2278">
        <v>2271</v>
      </c>
      <c r="B2278">
        <v>104</v>
      </c>
      <c r="C2278" t="s">
        <v>4916</v>
      </c>
      <c r="D2278" t="s">
        <v>4917</v>
      </c>
      <c r="E2278" t="s">
        <v>66</v>
      </c>
      <c r="F2278" t="s">
        <v>4918</v>
      </c>
      <c r="G2278" t="str">
        <f>"00520252"</f>
        <v>00520252</v>
      </c>
      <c r="H2278">
        <v>34.24</v>
      </c>
      <c r="I2278">
        <v>10</v>
      </c>
      <c r="M2278">
        <v>0</v>
      </c>
      <c r="N2278">
        <v>0</v>
      </c>
      <c r="O2278">
        <v>0</v>
      </c>
      <c r="P2278">
        <v>44.24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v>6</v>
      </c>
      <c r="AA2278">
        <v>0</v>
      </c>
      <c r="AC2278">
        <v>50.24</v>
      </c>
    </row>
    <row r="2279" spans="1:29">
      <c r="A2279">
        <v>2272</v>
      </c>
      <c r="B2279">
        <v>21</v>
      </c>
      <c r="C2279" t="s">
        <v>888</v>
      </c>
      <c r="D2279" t="s">
        <v>130</v>
      </c>
      <c r="E2279" t="s">
        <v>79</v>
      </c>
      <c r="F2279" t="s">
        <v>4926</v>
      </c>
      <c r="G2279" t="str">
        <f>"201405001775"</f>
        <v>201405001775</v>
      </c>
      <c r="H2279">
        <v>43.2</v>
      </c>
      <c r="I2279">
        <v>0</v>
      </c>
      <c r="M2279">
        <v>0</v>
      </c>
      <c r="N2279">
        <v>4</v>
      </c>
      <c r="O2279">
        <v>0</v>
      </c>
      <c r="P2279">
        <v>47.2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0</v>
      </c>
      <c r="Z2279">
        <v>3</v>
      </c>
      <c r="AA2279">
        <v>0</v>
      </c>
      <c r="AC2279">
        <v>50.2</v>
      </c>
    </row>
    <row r="2280" spans="1:29">
      <c r="A2280">
        <v>2273</v>
      </c>
      <c r="B2280">
        <v>665</v>
      </c>
      <c r="C2280" t="s">
        <v>4919</v>
      </c>
      <c r="D2280" t="s">
        <v>98</v>
      </c>
      <c r="E2280" t="s">
        <v>134</v>
      </c>
      <c r="F2280" t="s">
        <v>4920</v>
      </c>
      <c r="G2280" t="str">
        <f>"201401002416"</f>
        <v>201401002416</v>
      </c>
      <c r="H2280">
        <v>43.2</v>
      </c>
      <c r="I2280">
        <v>0</v>
      </c>
      <c r="M2280">
        <v>0</v>
      </c>
      <c r="N2280">
        <v>4</v>
      </c>
      <c r="O2280">
        <v>0</v>
      </c>
      <c r="P2280">
        <v>47.2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0</v>
      </c>
      <c r="Z2280">
        <v>3</v>
      </c>
      <c r="AA2280">
        <v>0</v>
      </c>
      <c r="AC2280">
        <v>50.2</v>
      </c>
    </row>
    <row r="2281" spans="1:29">
      <c r="A2281">
        <v>2274</v>
      </c>
      <c r="B2281">
        <v>3039</v>
      </c>
      <c r="C2281" t="s">
        <v>4924</v>
      </c>
      <c r="D2281" t="s">
        <v>130</v>
      </c>
      <c r="E2281" t="s">
        <v>36</v>
      </c>
      <c r="F2281" t="s">
        <v>4925</v>
      </c>
      <c r="G2281" t="str">
        <f>"00462741"</f>
        <v>00462741</v>
      </c>
      <c r="H2281">
        <v>43.2</v>
      </c>
      <c r="I2281">
        <v>0</v>
      </c>
      <c r="M2281">
        <v>0</v>
      </c>
      <c r="N2281">
        <v>4</v>
      </c>
      <c r="O2281">
        <v>0</v>
      </c>
      <c r="P2281">
        <v>47.2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3</v>
      </c>
      <c r="AA2281">
        <v>0</v>
      </c>
      <c r="AC2281">
        <v>50.2</v>
      </c>
    </row>
    <row r="2282" spans="1:29">
      <c r="A2282">
        <v>2275</v>
      </c>
      <c r="B2282">
        <v>2520</v>
      </c>
      <c r="C2282" t="s">
        <v>559</v>
      </c>
      <c r="D2282" t="s">
        <v>266</v>
      </c>
      <c r="E2282" t="s">
        <v>168</v>
      </c>
      <c r="F2282" t="s">
        <v>4921</v>
      </c>
      <c r="G2282" t="str">
        <f>"00864112"</f>
        <v>00864112</v>
      </c>
      <c r="H2282">
        <v>43.2</v>
      </c>
      <c r="I2282">
        <v>0</v>
      </c>
      <c r="M2282">
        <v>0</v>
      </c>
      <c r="N2282">
        <v>4</v>
      </c>
      <c r="O2282">
        <v>0</v>
      </c>
      <c r="P2282">
        <v>47.2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0</v>
      </c>
      <c r="Z2282">
        <v>3</v>
      </c>
      <c r="AA2282">
        <v>0</v>
      </c>
      <c r="AC2282">
        <v>50.2</v>
      </c>
    </row>
    <row r="2283" spans="1:29">
      <c r="A2283">
        <v>2276</v>
      </c>
      <c r="B2283">
        <v>127</v>
      </c>
      <c r="C2283" t="s">
        <v>4922</v>
      </c>
      <c r="D2283" t="s">
        <v>164</v>
      </c>
      <c r="E2283" t="s">
        <v>777</v>
      </c>
      <c r="F2283" t="s">
        <v>4923</v>
      </c>
      <c r="G2283" t="str">
        <f>"00478064"</f>
        <v>00478064</v>
      </c>
      <c r="H2283">
        <v>43.2</v>
      </c>
      <c r="I2283">
        <v>0</v>
      </c>
      <c r="M2283">
        <v>0</v>
      </c>
      <c r="N2283">
        <v>4</v>
      </c>
      <c r="O2283">
        <v>0</v>
      </c>
      <c r="P2283">
        <v>47.2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3</v>
      </c>
      <c r="AA2283">
        <v>0</v>
      </c>
      <c r="AC2283">
        <v>50.2</v>
      </c>
    </row>
    <row r="2284" spans="1:29">
      <c r="A2284">
        <v>2277</v>
      </c>
      <c r="B2284">
        <v>1014</v>
      </c>
      <c r="C2284" t="s">
        <v>1908</v>
      </c>
      <c r="D2284" t="s">
        <v>465</v>
      </c>
      <c r="E2284" t="s">
        <v>18</v>
      </c>
      <c r="F2284" t="s">
        <v>4927</v>
      </c>
      <c r="G2284" t="str">
        <f>"00357861"</f>
        <v>00357861</v>
      </c>
      <c r="H2284">
        <v>27.16</v>
      </c>
      <c r="I2284">
        <v>10</v>
      </c>
      <c r="M2284">
        <v>0</v>
      </c>
      <c r="N2284">
        <v>4</v>
      </c>
      <c r="O2284">
        <v>0</v>
      </c>
      <c r="P2284">
        <v>41.16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9</v>
      </c>
      <c r="AA2284">
        <v>0</v>
      </c>
      <c r="AC2284">
        <v>50.16</v>
      </c>
    </row>
    <row r="2285" spans="1:29">
      <c r="A2285">
        <v>2278</v>
      </c>
      <c r="B2285">
        <v>132</v>
      </c>
      <c r="C2285" t="s">
        <v>4928</v>
      </c>
      <c r="D2285" t="s">
        <v>185</v>
      </c>
      <c r="E2285" t="s">
        <v>922</v>
      </c>
      <c r="F2285" t="s">
        <v>4929</v>
      </c>
      <c r="G2285" t="str">
        <f>"00400892"</f>
        <v>00400892</v>
      </c>
      <c r="H2285">
        <v>34.159999999999997</v>
      </c>
      <c r="I2285">
        <v>0</v>
      </c>
      <c r="M2285">
        <v>0</v>
      </c>
      <c r="N2285">
        <v>0</v>
      </c>
      <c r="O2285">
        <v>2</v>
      </c>
      <c r="P2285">
        <v>36.159999999999997</v>
      </c>
      <c r="Q2285">
        <v>14</v>
      </c>
      <c r="R2285">
        <v>14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14</v>
      </c>
      <c r="Z2285">
        <v>0</v>
      </c>
      <c r="AA2285">
        <v>0</v>
      </c>
      <c r="AC2285">
        <v>50.16</v>
      </c>
    </row>
    <row r="2286" spans="1:29">
      <c r="A2286">
        <v>2279</v>
      </c>
      <c r="B2286">
        <v>3248</v>
      </c>
      <c r="C2286" t="s">
        <v>4930</v>
      </c>
      <c r="D2286" t="s">
        <v>962</v>
      </c>
      <c r="E2286" t="s">
        <v>15</v>
      </c>
      <c r="F2286" t="s">
        <v>4931</v>
      </c>
      <c r="G2286" t="str">
        <f>"201405000783"</f>
        <v>201405000783</v>
      </c>
      <c r="H2286">
        <v>37.08</v>
      </c>
      <c r="I2286">
        <v>0</v>
      </c>
      <c r="M2286">
        <v>0</v>
      </c>
      <c r="N2286">
        <v>4</v>
      </c>
      <c r="O2286">
        <v>2</v>
      </c>
      <c r="P2286">
        <v>43.08</v>
      </c>
      <c r="Q2286">
        <v>7</v>
      </c>
      <c r="R2286">
        <v>7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7</v>
      </c>
      <c r="Z2286">
        <v>0</v>
      </c>
      <c r="AA2286">
        <v>0</v>
      </c>
      <c r="AC2286">
        <v>50.08</v>
      </c>
    </row>
    <row r="2287" spans="1:29">
      <c r="A2287">
        <v>2280</v>
      </c>
      <c r="B2287">
        <v>4454</v>
      </c>
      <c r="C2287" t="s">
        <v>4933</v>
      </c>
      <c r="D2287" t="s">
        <v>164</v>
      </c>
      <c r="E2287" t="s">
        <v>134</v>
      </c>
      <c r="F2287" t="s">
        <v>4934</v>
      </c>
      <c r="G2287" t="str">
        <f>"00859390"</f>
        <v>00859390</v>
      </c>
      <c r="H2287">
        <v>40</v>
      </c>
      <c r="I2287">
        <v>0</v>
      </c>
      <c r="M2287">
        <v>0</v>
      </c>
      <c r="N2287">
        <v>4</v>
      </c>
      <c r="O2287">
        <v>0</v>
      </c>
      <c r="P2287">
        <v>44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0</v>
      </c>
      <c r="Z2287">
        <v>6</v>
      </c>
      <c r="AA2287">
        <v>0</v>
      </c>
      <c r="AC2287">
        <v>50</v>
      </c>
    </row>
    <row r="2288" spans="1:29">
      <c r="A2288">
        <v>2281</v>
      </c>
      <c r="B2288">
        <v>750</v>
      </c>
      <c r="C2288" t="s">
        <v>2043</v>
      </c>
      <c r="D2288" t="s">
        <v>27</v>
      </c>
      <c r="E2288" t="s">
        <v>79</v>
      </c>
      <c r="F2288" t="s">
        <v>4932</v>
      </c>
      <c r="G2288" t="str">
        <f>"00250965"</f>
        <v>00250965</v>
      </c>
      <c r="H2288">
        <v>40</v>
      </c>
      <c r="I2288">
        <v>0</v>
      </c>
      <c r="M2288">
        <v>0</v>
      </c>
      <c r="N2288">
        <v>4</v>
      </c>
      <c r="O2288">
        <v>0</v>
      </c>
      <c r="P2288">
        <v>44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0</v>
      </c>
      <c r="Z2288">
        <v>6</v>
      </c>
      <c r="AA2288">
        <v>0</v>
      </c>
      <c r="AC2288">
        <v>50</v>
      </c>
    </row>
    <row r="2289" spans="1:29">
      <c r="A2289">
        <v>2282</v>
      </c>
      <c r="B2289">
        <v>2441</v>
      </c>
      <c r="C2289" t="s">
        <v>4935</v>
      </c>
      <c r="D2289" t="s">
        <v>52</v>
      </c>
      <c r="E2289" t="s">
        <v>337</v>
      </c>
      <c r="F2289" t="s">
        <v>4936</v>
      </c>
      <c r="G2289" t="str">
        <f>"00596405"</f>
        <v>00596405</v>
      </c>
      <c r="H2289">
        <v>36</v>
      </c>
      <c r="I2289">
        <v>0</v>
      </c>
      <c r="J2289">
        <v>8</v>
      </c>
      <c r="M2289">
        <v>8</v>
      </c>
      <c r="N2289">
        <v>0</v>
      </c>
      <c r="O2289">
        <v>0</v>
      </c>
      <c r="P2289">
        <v>44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6</v>
      </c>
      <c r="AA2289">
        <v>0</v>
      </c>
      <c r="AC2289">
        <v>50</v>
      </c>
    </row>
    <row r="2290" spans="1:29">
      <c r="A2290">
        <v>2283</v>
      </c>
      <c r="B2290">
        <v>625</v>
      </c>
      <c r="C2290" t="s">
        <v>4937</v>
      </c>
      <c r="D2290" t="s">
        <v>108</v>
      </c>
      <c r="E2290" t="s">
        <v>12</v>
      </c>
      <c r="F2290" t="s">
        <v>4938</v>
      </c>
      <c r="G2290" t="str">
        <f>"00854983"</f>
        <v>00854983</v>
      </c>
      <c r="H2290">
        <v>36</v>
      </c>
      <c r="I2290">
        <v>0</v>
      </c>
      <c r="L2290">
        <v>4</v>
      </c>
      <c r="M2290">
        <v>4</v>
      </c>
      <c r="N2290">
        <v>4</v>
      </c>
      <c r="O2290">
        <v>0</v>
      </c>
      <c r="P2290">
        <v>44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6</v>
      </c>
      <c r="AA2290">
        <v>0</v>
      </c>
      <c r="AC2290">
        <v>50</v>
      </c>
    </row>
    <row r="2291" spans="1:29">
      <c r="A2291">
        <v>2284</v>
      </c>
      <c r="B2291">
        <v>997</v>
      </c>
      <c r="C2291" t="s">
        <v>4939</v>
      </c>
      <c r="D2291" t="s">
        <v>465</v>
      </c>
      <c r="E2291" t="s">
        <v>165</v>
      </c>
      <c r="F2291" t="s">
        <v>4940</v>
      </c>
      <c r="G2291" t="str">
        <f>"00530529"</f>
        <v>00530529</v>
      </c>
      <c r="H2291">
        <v>32</v>
      </c>
      <c r="I2291">
        <v>0</v>
      </c>
      <c r="L2291">
        <v>4</v>
      </c>
      <c r="M2291">
        <v>4</v>
      </c>
      <c r="N2291">
        <v>4</v>
      </c>
      <c r="O2291">
        <v>2</v>
      </c>
      <c r="P2291">
        <v>42</v>
      </c>
      <c r="Q2291">
        <v>2</v>
      </c>
      <c r="R2291">
        <v>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2</v>
      </c>
      <c r="Z2291">
        <v>6</v>
      </c>
      <c r="AA2291">
        <v>0</v>
      </c>
      <c r="AC2291">
        <v>50</v>
      </c>
    </row>
    <row r="2292" spans="1:29">
      <c r="A2292">
        <v>2285</v>
      </c>
      <c r="B2292">
        <v>3340</v>
      </c>
      <c r="C2292" t="s">
        <v>4956</v>
      </c>
      <c r="D2292" t="s">
        <v>2014</v>
      </c>
      <c r="E2292" t="s">
        <v>245</v>
      </c>
      <c r="F2292" t="s">
        <v>4957</v>
      </c>
      <c r="G2292" t="str">
        <f>"00321223"</f>
        <v>00321223</v>
      </c>
      <c r="H2292">
        <v>40</v>
      </c>
      <c r="I2292">
        <v>0</v>
      </c>
      <c r="L2292">
        <v>4</v>
      </c>
      <c r="M2292">
        <v>4</v>
      </c>
      <c r="N2292">
        <v>4</v>
      </c>
      <c r="O2292">
        <v>2</v>
      </c>
      <c r="P2292">
        <v>50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0</v>
      </c>
      <c r="AC2292">
        <v>50</v>
      </c>
    </row>
    <row r="2293" spans="1:29">
      <c r="A2293">
        <v>2286</v>
      </c>
      <c r="B2293">
        <v>4972</v>
      </c>
      <c r="C2293" t="s">
        <v>415</v>
      </c>
      <c r="D2293" t="s">
        <v>39</v>
      </c>
      <c r="E2293" t="s">
        <v>156</v>
      </c>
      <c r="F2293" t="s">
        <v>4947</v>
      </c>
      <c r="G2293" t="str">
        <f>"00566947"</f>
        <v>00566947</v>
      </c>
      <c r="H2293">
        <v>40</v>
      </c>
      <c r="I2293">
        <v>0</v>
      </c>
      <c r="L2293">
        <v>4</v>
      </c>
      <c r="M2293">
        <v>4</v>
      </c>
      <c r="N2293">
        <v>4</v>
      </c>
      <c r="O2293">
        <v>2</v>
      </c>
      <c r="P2293">
        <v>50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0</v>
      </c>
      <c r="AC2293">
        <v>50</v>
      </c>
    </row>
    <row r="2294" spans="1:29">
      <c r="A2294">
        <v>2287</v>
      </c>
      <c r="B2294">
        <v>1930</v>
      </c>
      <c r="C2294" t="s">
        <v>4954</v>
      </c>
      <c r="D2294" t="s">
        <v>185</v>
      </c>
      <c r="E2294" t="s">
        <v>15</v>
      </c>
      <c r="F2294" t="s">
        <v>4955</v>
      </c>
      <c r="G2294" t="str">
        <f>"00860979"</f>
        <v>00860979</v>
      </c>
      <c r="H2294">
        <v>40</v>
      </c>
      <c r="I2294">
        <v>0</v>
      </c>
      <c r="L2294">
        <v>4</v>
      </c>
      <c r="M2294">
        <v>4</v>
      </c>
      <c r="N2294">
        <v>4</v>
      </c>
      <c r="O2294">
        <v>2</v>
      </c>
      <c r="P2294">
        <v>50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0</v>
      </c>
      <c r="AA2294">
        <v>0</v>
      </c>
      <c r="AC2294">
        <v>50</v>
      </c>
    </row>
    <row r="2295" spans="1:29">
      <c r="A2295">
        <v>2288</v>
      </c>
      <c r="B2295">
        <v>4057</v>
      </c>
      <c r="C2295" t="s">
        <v>4945</v>
      </c>
      <c r="D2295" t="s">
        <v>24</v>
      </c>
      <c r="E2295" t="s">
        <v>115</v>
      </c>
      <c r="F2295" t="s">
        <v>4946</v>
      </c>
      <c r="G2295" t="str">
        <f>"00693012"</f>
        <v>00693012</v>
      </c>
      <c r="H2295">
        <v>40</v>
      </c>
      <c r="I2295">
        <v>10</v>
      </c>
      <c r="M2295">
        <v>0</v>
      </c>
      <c r="N2295">
        <v>0</v>
      </c>
      <c r="O2295">
        <v>0</v>
      </c>
      <c r="P2295">
        <v>50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0</v>
      </c>
      <c r="AC2295">
        <v>50</v>
      </c>
    </row>
    <row r="2296" spans="1:29">
      <c r="A2296">
        <v>2289</v>
      </c>
      <c r="B2296">
        <v>4646</v>
      </c>
      <c r="C2296" t="s">
        <v>4948</v>
      </c>
      <c r="D2296" t="s">
        <v>52</v>
      </c>
      <c r="E2296" t="s">
        <v>134</v>
      </c>
      <c r="F2296" t="s">
        <v>4949</v>
      </c>
      <c r="G2296" t="str">
        <f>"00452290"</f>
        <v>00452290</v>
      </c>
      <c r="H2296">
        <v>40</v>
      </c>
      <c r="I2296">
        <v>0</v>
      </c>
      <c r="L2296">
        <v>4</v>
      </c>
      <c r="M2296">
        <v>4</v>
      </c>
      <c r="N2296">
        <v>4</v>
      </c>
      <c r="O2296">
        <v>2</v>
      </c>
      <c r="P2296">
        <v>50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  <c r="AC2296">
        <v>50</v>
      </c>
    </row>
    <row r="2297" spans="1:29">
      <c r="A2297">
        <v>2290</v>
      </c>
      <c r="B2297">
        <v>4435</v>
      </c>
      <c r="C2297" t="s">
        <v>4950</v>
      </c>
      <c r="D2297" t="s">
        <v>4951</v>
      </c>
      <c r="E2297" t="s">
        <v>4952</v>
      </c>
      <c r="F2297" t="s">
        <v>4953</v>
      </c>
      <c r="G2297" t="str">
        <f>"00685424"</f>
        <v>00685424</v>
      </c>
      <c r="H2297">
        <v>40</v>
      </c>
      <c r="I2297">
        <v>10</v>
      </c>
      <c r="M2297">
        <v>0</v>
      </c>
      <c r="N2297">
        <v>0</v>
      </c>
      <c r="O2297">
        <v>0</v>
      </c>
      <c r="P2297">
        <v>50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  <c r="AC2297">
        <v>50</v>
      </c>
    </row>
    <row r="2298" spans="1:29">
      <c r="A2298">
        <v>2291</v>
      </c>
      <c r="B2298">
        <v>2035</v>
      </c>
      <c r="C2298" t="s">
        <v>927</v>
      </c>
      <c r="D2298" t="s">
        <v>130</v>
      </c>
      <c r="E2298" t="s">
        <v>156</v>
      </c>
      <c r="F2298" t="s">
        <v>4941</v>
      </c>
      <c r="G2298" t="str">
        <f>"00091989"</f>
        <v>00091989</v>
      </c>
      <c r="H2298">
        <v>40</v>
      </c>
      <c r="I2298">
        <v>0</v>
      </c>
      <c r="L2298">
        <v>4</v>
      </c>
      <c r="M2298">
        <v>4</v>
      </c>
      <c r="N2298">
        <v>4</v>
      </c>
      <c r="O2298">
        <v>2</v>
      </c>
      <c r="P2298">
        <v>50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0</v>
      </c>
      <c r="AA2298">
        <v>0</v>
      </c>
      <c r="AC2298">
        <v>50</v>
      </c>
    </row>
    <row r="2299" spans="1:29">
      <c r="A2299">
        <v>2292</v>
      </c>
      <c r="B2299">
        <v>3971</v>
      </c>
      <c r="C2299" t="s">
        <v>4942</v>
      </c>
      <c r="D2299" t="s">
        <v>39</v>
      </c>
      <c r="E2299" t="s">
        <v>4943</v>
      </c>
      <c r="F2299" t="s">
        <v>4944</v>
      </c>
      <c r="G2299" t="str">
        <f>"00315620"</f>
        <v>00315620</v>
      </c>
      <c r="H2299">
        <v>40</v>
      </c>
      <c r="I2299">
        <v>0</v>
      </c>
      <c r="L2299">
        <v>4</v>
      </c>
      <c r="M2299">
        <v>4</v>
      </c>
      <c r="N2299">
        <v>4</v>
      </c>
      <c r="O2299">
        <v>2</v>
      </c>
      <c r="P2299">
        <v>50</v>
      </c>
      <c r="Q2299">
        <v>0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0</v>
      </c>
      <c r="AC2299">
        <v>50</v>
      </c>
    </row>
    <row r="2300" spans="1:29">
      <c r="A2300">
        <v>2293</v>
      </c>
      <c r="B2300">
        <v>3772</v>
      </c>
      <c r="C2300" t="s">
        <v>4958</v>
      </c>
      <c r="D2300" t="s">
        <v>31</v>
      </c>
      <c r="E2300" t="s">
        <v>15</v>
      </c>
      <c r="F2300" t="s">
        <v>4959</v>
      </c>
      <c r="G2300" t="str">
        <f>"00864765"</f>
        <v>00864765</v>
      </c>
      <c r="H2300">
        <v>38</v>
      </c>
      <c r="I2300">
        <v>0</v>
      </c>
      <c r="J2300">
        <v>8</v>
      </c>
      <c r="M2300">
        <v>8</v>
      </c>
      <c r="N2300">
        <v>4</v>
      </c>
      <c r="O2300">
        <v>0</v>
      </c>
      <c r="P2300">
        <v>50</v>
      </c>
      <c r="Q2300">
        <v>0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0</v>
      </c>
      <c r="AA2300">
        <v>0</v>
      </c>
      <c r="AC2300">
        <v>50</v>
      </c>
    </row>
    <row r="2301" spans="1:29">
      <c r="A2301">
        <v>2294</v>
      </c>
      <c r="B2301">
        <v>3484</v>
      </c>
      <c r="C2301" t="s">
        <v>4960</v>
      </c>
      <c r="D2301" t="s">
        <v>3456</v>
      </c>
      <c r="E2301" t="s">
        <v>156</v>
      </c>
      <c r="F2301" t="s">
        <v>4961</v>
      </c>
      <c r="G2301" t="str">
        <f>"00618328"</f>
        <v>00618328</v>
      </c>
      <c r="H2301">
        <v>38</v>
      </c>
      <c r="I2301">
        <v>0</v>
      </c>
      <c r="J2301">
        <v>8</v>
      </c>
      <c r="M2301">
        <v>8</v>
      </c>
      <c r="N2301">
        <v>4</v>
      </c>
      <c r="O2301">
        <v>0</v>
      </c>
      <c r="P2301">
        <v>50</v>
      </c>
      <c r="Q2301">
        <v>0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0</v>
      </c>
      <c r="AA2301">
        <v>0</v>
      </c>
      <c r="AC2301">
        <v>50</v>
      </c>
    </row>
    <row r="2302" spans="1:29">
      <c r="A2302">
        <v>2295</v>
      </c>
      <c r="B2302">
        <v>286</v>
      </c>
      <c r="C2302" t="s">
        <v>4962</v>
      </c>
      <c r="D2302" t="s">
        <v>4963</v>
      </c>
      <c r="E2302" t="s">
        <v>227</v>
      </c>
      <c r="F2302" t="s">
        <v>4964</v>
      </c>
      <c r="G2302" t="str">
        <f>"201511007511"</f>
        <v>201511007511</v>
      </c>
      <c r="H2302">
        <v>36</v>
      </c>
      <c r="I2302">
        <v>10</v>
      </c>
      <c r="M2302">
        <v>0</v>
      </c>
      <c r="N2302">
        <v>4</v>
      </c>
      <c r="O2302">
        <v>0</v>
      </c>
      <c r="P2302">
        <v>50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C2302">
        <v>50</v>
      </c>
    </row>
    <row r="2303" spans="1:29">
      <c r="A2303">
        <v>2296</v>
      </c>
      <c r="B2303">
        <v>390</v>
      </c>
      <c r="C2303" t="s">
        <v>4969</v>
      </c>
      <c r="D2303" t="s">
        <v>52</v>
      </c>
      <c r="E2303" t="s">
        <v>79</v>
      </c>
      <c r="F2303" t="s">
        <v>4970</v>
      </c>
      <c r="G2303" t="str">
        <f>"201604000615"</f>
        <v>201604000615</v>
      </c>
      <c r="H2303">
        <v>36</v>
      </c>
      <c r="I2303">
        <v>0</v>
      </c>
      <c r="J2303">
        <v>8</v>
      </c>
      <c r="M2303">
        <v>8</v>
      </c>
      <c r="N2303">
        <v>4</v>
      </c>
      <c r="O2303">
        <v>2</v>
      </c>
      <c r="P2303">
        <v>50</v>
      </c>
      <c r="Q2303">
        <v>0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  <c r="AA2303">
        <v>0</v>
      </c>
      <c r="AC2303">
        <v>50</v>
      </c>
    </row>
    <row r="2304" spans="1:29">
      <c r="A2304">
        <v>2297</v>
      </c>
      <c r="B2304">
        <v>1419</v>
      </c>
      <c r="C2304" t="s">
        <v>4967</v>
      </c>
      <c r="D2304" t="s">
        <v>465</v>
      </c>
      <c r="E2304" t="s">
        <v>15</v>
      </c>
      <c r="F2304" t="s">
        <v>4968</v>
      </c>
      <c r="G2304" t="str">
        <f>"00508514"</f>
        <v>00508514</v>
      </c>
      <c r="H2304">
        <v>36</v>
      </c>
      <c r="I2304">
        <v>0</v>
      </c>
      <c r="J2304">
        <v>8</v>
      </c>
      <c r="M2304">
        <v>8</v>
      </c>
      <c r="N2304">
        <v>4</v>
      </c>
      <c r="O2304">
        <v>2</v>
      </c>
      <c r="P2304">
        <v>50</v>
      </c>
      <c r="Q2304">
        <v>0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0</v>
      </c>
      <c r="AC2304">
        <v>50</v>
      </c>
    </row>
    <row r="2305" spans="1:29">
      <c r="A2305">
        <v>2298</v>
      </c>
      <c r="B2305">
        <v>818</v>
      </c>
      <c r="C2305" t="s">
        <v>91</v>
      </c>
      <c r="D2305" t="s">
        <v>276</v>
      </c>
      <c r="E2305" t="s">
        <v>4965</v>
      </c>
      <c r="F2305" t="s">
        <v>4966</v>
      </c>
      <c r="G2305" t="str">
        <f>"00594026"</f>
        <v>00594026</v>
      </c>
      <c r="H2305">
        <v>36</v>
      </c>
      <c r="I2305">
        <v>0</v>
      </c>
      <c r="J2305">
        <v>8</v>
      </c>
      <c r="M2305">
        <v>8</v>
      </c>
      <c r="N2305">
        <v>4</v>
      </c>
      <c r="O2305">
        <v>2</v>
      </c>
      <c r="P2305">
        <v>50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0</v>
      </c>
      <c r="AA2305">
        <v>0</v>
      </c>
      <c r="AC2305">
        <v>50</v>
      </c>
    </row>
    <row r="2306" spans="1:29">
      <c r="A2306">
        <v>2299</v>
      </c>
      <c r="B2306">
        <v>1782</v>
      </c>
      <c r="C2306" t="s">
        <v>4971</v>
      </c>
      <c r="D2306" t="s">
        <v>4972</v>
      </c>
      <c r="E2306" t="s">
        <v>644</v>
      </c>
      <c r="F2306" t="s">
        <v>4973</v>
      </c>
      <c r="G2306" t="str">
        <f>"00530040"</f>
        <v>00530040</v>
      </c>
      <c r="H2306">
        <v>26</v>
      </c>
      <c r="I2306">
        <v>0</v>
      </c>
      <c r="L2306">
        <v>4</v>
      </c>
      <c r="M2306">
        <v>4</v>
      </c>
      <c r="N2306">
        <v>0</v>
      </c>
      <c r="O2306">
        <v>2</v>
      </c>
      <c r="P2306">
        <v>32</v>
      </c>
      <c r="Q2306">
        <v>18</v>
      </c>
      <c r="R2306">
        <v>18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18</v>
      </c>
      <c r="Z2306">
        <v>0</v>
      </c>
      <c r="AA2306">
        <v>0</v>
      </c>
      <c r="AC2306">
        <v>50</v>
      </c>
    </row>
    <row r="2307" spans="1:29">
      <c r="A2307">
        <v>2300</v>
      </c>
      <c r="B2307">
        <v>2142</v>
      </c>
      <c r="C2307" t="s">
        <v>4974</v>
      </c>
      <c r="D2307" t="s">
        <v>20</v>
      </c>
      <c r="E2307" t="s">
        <v>4975</v>
      </c>
      <c r="F2307" t="s">
        <v>4976</v>
      </c>
      <c r="G2307" t="str">
        <f>"00510942"</f>
        <v>00510942</v>
      </c>
      <c r="H2307">
        <v>0</v>
      </c>
      <c r="I2307">
        <v>0</v>
      </c>
      <c r="K2307">
        <v>6</v>
      </c>
      <c r="M2307">
        <v>6</v>
      </c>
      <c r="N2307">
        <v>4</v>
      </c>
      <c r="O2307">
        <v>2</v>
      </c>
      <c r="P2307">
        <v>12</v>
      </c>
      <c r="Q2307">
        <v>28</v>
      </c>
      <c r="R2307">
        <v>28</v>
      </c>
      <c r="S2307">
        <v>0</v>
      </c>
      <c r="T2307">
        <v>0</v>
      </c>
      <c r="U2307">
        <v>7</v>
      </c>
      <c r="V2307">
        <v>10</v>
      </c>
      <c r="W2307">
        <v>0</v>
      </c>
      <c r="X2307">
        <v>0</v>
      </c>
      <c r="Y2307">
        <v>38</v>
      </c>
      <c r="Z2307">
        <v>0</v>
      </c>
      <c r="AA2307">
        <v>0</v>
      </c>
      <c r="AC2307">
        <v>50</v>
      </c>
    </row>
    <row r="2308" spans="1:29">
      <c r="A2308">
        <v>2301</v>
      </c>
      <c r="B2308">
        <v>805</v>
      </c>
      <c r="C2308" t="s">
        <v>4977</v>
      </c>
      <c r="D2308" t="s">
        <v>27</v>
      </c>
      <c r="E2308" t="s">
        <v>187</v>
      </c>
      <c r="F2308" t="s">
        <v>4978</v>
      </c>
      <c r="G2308" t="str">
        <f>"00555380"</f>
        <v>00555380</v>
      </c>
      <c r="H2308">
        <v>36.880000000000003</v>
      </c>
      <c r="I2308">
        <v>0</v>
      </c>
      <c r="L2308">
        <v>4</v>
      </c>
      <c r="M2308">
        <v>4</v>
      </c>
      <c r="N2308">
        <v>0</v>
      </c>
      <c r="O2308">
        <v>0</v>
      </c>
      <c r="P2308">
        <v>40.880000000000003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9</v>
      </c>
      <c r="AA2308">
        <v>0</v>
      </c>
      <c r="AC2308">
        <v>49.88</v>
      </c>
    </row>
    <row r="2309" spans="1:29">
      <c r="A2309">
        <v>2302</v>
      </c>
      <c r="B2309">
        <v>1491</v>
      </c>
      <c r="C2309" t="s">
        <v>1912</v>
      </c>
      <c r="D2309" t="s">
        <v>544</v>
      </c>
      <c r="E2309" t="s">
        <v>134</v>
      </c>
      <c r="F2309" t="s">
        <v>4979</v>
      </c>
      <c r="G2309" t="str">
        <f>"201511020526"</f>
        <v>201511020526</v>
      </c>
      <c r="H2309">
        <v>25.72</v>
      </c>
      <c r="I2309">
        <v>10</v>
      </c>
      <c r="L2309">
        <v>4</v>
      </c>
      <c r="M2309">
        <v>4</v>
      </c>
      <c r="N2309">
        <v>4</v>
      </c>
      <c r="O2309">
        <v>0</v>
      </c>
      <c r="P2309">
        <v>43.72</v>
      </c>
      <c r="Q2309">
        <v>0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6</v>
      </c>
      <c r="AA2309">
        <v>0</v>
      </c>
      <c r="AC2309">
        <v>49.72</v>
      </c>
    </row>
    <row r="2310" spans="1:29">
      <c r="A2310">
        <v>2303</v>
      </c>
      <c r="B2310">
        <v>2674</v>
      </c>
      <c r="C2310" t="s">
        <v>4980</v>
      </c>
      <c r="D2310" t="s">
        <v>31</v>
      </c>
      <c r="E2310" t="s">
        <v>436</v>
      </c>
      <c r="F2310" t="s">
        <v>4981</v>
      </c>
      <c r="G2310" t="str">
        <f>"00754661"</f>
        <v>00754661</v>
      </c>
      <c r="H2310">
        <v>30.68</v>
      </c>
      <c r="I2310">
        <v>10</v>
      </c>
      <c r="M2310">
        <v>0</v>
      </c>
      <c r="N2310">
        <v>0</v>
      </c>
      <c r="O2310">
        <v>0</v>
      </c>
      <c r="P2310">
        <v>40.68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9</v>
      </c>
      <c r="AA2310">
        <v>0</v>
      </c>
      <c r="AC2310">
        <v>49.68</v>
      </c>
    </row>
    <row r="2311" spans="1:29">
      <c r="A2311">
        <v>2304</v>
      </c>
      <c r="B2311">
        <v>2703</v>
      </c>
      <c r="C2311" t="s">
        <v>1921</v>
      </c>
      <c r="D2311" t="s">
        <v>31</v>
      </c>
      <c r="E2311" t="s">
        <v>18</v>
      </c>
      <c r="F2311" t="s">
        <v>4982</v>
      </c>
      <c r="G2311" t="str">
        <f>"00532899"</f>
        <v>00532899</v>
      </c>
      <c r="H2311">
        <v>35.64</v>
      </c>
      <c r="I2311">
        <v>0</v>
      </c>
      <c r="M2311">
        <v>0</v>
      </c>
      <c r="N2311">
        <v>0</v>
      </c>
      <c r="O2311">
        <v>0</v>
      </c>
      <c r="P2311">
        <v>35.64</v>
      </c>
      <c r="Q2311">
        <v>8</v>
      </c>
      <c r="R2311">
        <v>8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8</v>
      </c>
      <c r="Z2311">
        <v>6</v>
      </c>
      <c r="AA2311">
        <v>0</v>
      </c>
      <c r="AC2311">
        <v>49.64</v>
      </c>
    </row>
    <row r="2312" spans="1:29">
      <c r="A2312">
        <v>2305</v>
      </c>
      <c r="B2312">
        <v>1941</v>
      </c>
      <c r="C2312" t="s">
        <v>4983</v>
      </c>
      <c r="D2312" t="s">
        <v>4984</v>
      </c>
      <c r="E2312" t="s">
        <v>66</v>
      </c>
      <c r="F2312" t="s">
        <v>4985</v>
      </c>
      <c r="G2312" t="str">
        <f>"00700637"</f>
        <v>00700637</v>
      </c>
      <c r="H2312">
        <v>39.6</v>
      </c>
      <c r="I2312">
        <v>0</v>
      </c>
      <c r="L2312">
        <v>4</v>
      </c>
      <c r="M2312">
        <v>4</v>
      </c>
      <c r="N2312">
        <v>0</v>
      </c>
      <c r="O2312">
        <v>0</v>
      </c>
      <c r="P2312">
        <v>43.6</v>
      </c>
      <c r="Q2312">
        <v>0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0</v>
      </c>
      <c r="Z2312">
        <v>6</v>
      </c>
      <c r="AA2312">
        <v>0</v>
      </c>
      <c r="AC2312">
        <v>49.6</v>
      </c>
    </row>
    <row r="2313" spans="1:29">
      <c r="A2313">
        <v>2306</v>
      </c>
      <c r="B2313">
        <v>985</v>
      </c>
      <c r="C2313" t="s">
        <v>4560</v>
      </c>
      <c r="D2313" t="s">
        <v>141</v>
      </c>
      <c r="E2313" t="s">
        <v>18</v>
      </c>
      <c r="F2313" t="s">
        <v>4986</v>
      </c>
      <c r="G2313" t="str">
        <f>"00711888"</f>
        <v>00711888</v>
      </c>
      <c r="H2313">
        <v>21.6</v>
      </c>
      <c r="I2313">
        <v>10</v>
      </c>
      <c r="J2313">
        <v>8</v>
      </c>
      <c r="M2313">
        <v>8</v>
      </c>
      <c r="N2313">
        <v>4</v>
      </c>
      <c r="O2313">
        <v>0</v>
      </c>
      <c r="P2313">
        <v>43.6</v>
      </c>
      <c r="Q2313">
        <v>0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0</v>
      </c>
      <c r="Z2313">
        <v>6</v>
      </c>
      <c r="AA2313">
        <v>0</v>
      </c>
      <c r="AC2313">
        <v>49.6</v>
      </c>
    </row>
    <row r="2314" spans="1:29">
      <c r="A2314">
        <v>2307</v>
      </c>
      <c r="B2314">
        <v>3920</v>
      </c>
      <c r="C2314" t="s">
        <v>4987</v>
      </c>
      <c r="D2314" t="s">
        <v>784</v>
      </c>
      <c r="E2314" t="s">
        <v>36</v>
      </c>
      <c r="F2314" t="s">
        <v>4988</v>
      </c>
      <c r="G2314" t="str">
        <f>"00532002"</f>
        <v>00532002</v>
      </c>
      <c r="H2314">
        <v>21.6</v>
      </c>
      <c r="I2314">
        <v>0</v>
      </c>
      <c r="M2314">
        <v>0</v>
      </c>
      <c r="N2314">
        <v>4</v>
      </c>
      <c r="O2314">
        <v>2</v>
      </c>
      <c r="P2314">
        <v>27.6</v>
      </c>
      <c r="Q2314">
        <v>16</v>
      </c>
      <c r="R2314">
        <v>16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16</v>
      </c>
      <c r="Z2314">
        <v>6</v>
      </c>
      <c r="AA2314">
        <v>0</v>
      </c>
      <c r="AC2314">
        <v>49.6</v>
      </c>
    </row>
    <row r="2315" spans="1:29">
      <c r="A2315">
        <v>2308</v>
      </c>
      <c r="B2315">
        <v>870</v>
      </c>
      <c r="C2315" t="s">
        <v>4477</v>
      </c>
      <c r="D2315" t="s">
        <v>167</v>
      </c>
      <c r="E2315" t="s">
        <v>115</v>
      </c>
      <c r="F2315" t="s">
        <v>4989</v>
      </c>
      <c r="G2315" t="str">
        <f>"00576905"</f>
        <v>00576905</v>
      </c>
      <c r="H2315">
        <v>39.6</v>
      </c>
      <c r="I2315">
        <v>10</v>
      </c>
      <c r="M2315">
        <v>0</v>
      </c>
      <c r="N2315">
        <v>0</v>
      </c>
      <c r="O2315">
        <v>0</v>
      </c>
      <c r="P2315">
        <v>49.6</v>
      </c>
      <c r="Q2315">
        <v>0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0</v>
      </c>
      <c r="AC2315">
        <v>49.6</v>
      </c>
    </row>
    <row r="2316" spans="1:29">
      <c r="A2316">
        <v>2309</v>
      </c>
      <c r="B2316">
        <v>2220</v>
      </c>
      <c r="C2316" t="s">
        <v>4990</v>
      </c>
      <c r="D2316" t="s">
        <v>4991</v>
      </c>
      <c r="E2316" t="s">
        <v>15</v>
      </c>
      <c r="F2316" t="s">
        <v>4992</v>
      </c>
      <c r="G2316" t="str">
        <f>"00511732"</f>
        <v>00511732</v>
      </c>
      <c r="H2316">
        <v>39.6</v>
      </c>
      <c r="I2316">
        <v>0</v>
      </c>
      <c r="L2316">
        <v>4</v>
      </c>
      <c r="M2316">
        <v>4</v>
      </c>
      <c r="N2316">
        <v>4</v>
      </c>
      <c r="O2316">
        <v>2</v>
      </c>
      <c r="P2316">
        <v>49.6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0</v>
      </c>
      <c r="AC2316">
        <v>49.6</v>
      </c>
    </row>
    <row r="2317" spans="1:29">
      <c r="A2317">
        <v>2310</v>
      </c>
      <c r="B2317">
        <v>798</v>
      </c>
      <c r="C2317" t="s">
        <v>2256</v>
      </c>
      <c r="D2317" t="s">
        <v>69</v>
      </c>
      <c r="E2317" t="s">
        <v>28</v>
      </c>
      <c r="F2317" t="s">
        <v>4993</v>
      </c>
      <c r="G2317" t="str">
        <f>"00446808"</f>
        <v>00446808</v>
      </c>
      <c r="H2317">
        <v>37.6</v>
      </c>
      <c r="I2317">
        <v>0</v>
      </c>
      <c r="K2317">
        <v>6</v>
      </c>
      <c r="M2317">
        <v>6</v>
      </c>
      <c r="N2317">
        <v>4</v>
      </c>
      <c r="O2317">
        <v>2</v>
      </c>
      <c r="P2317">
        <v>49.6</v>
      </c>
      <c r="Q2317">
        <v>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0</v>
      </c>
      <c r="Z2317">
        <v>0</v>
      </c>
      <c r="AA2317">
        <v>0</v>
      </c>
      <c r="AB2317" t="s">
        <v>128</v>
      </c>
      <c r="AC2317">
        <v>49.6</v>
      </c>
    </row>
    <row r="2318" spans="1:29">
      <c r="A2318">
        <v>2311</v>
      </c>
      <c r="B2318">
        <v>4414</v>
      </c>
      <c r="C2318" t="s">
        <v>4994</v>
      </c>
      <c r="D2318" t="s">
        <v>1051</v>
      </c>
      <c r="E2318" t="s">
        <v>165</v>
      </c>
      <c r="F2318" t="s">
        <v>4995</v>
      </c>
      <c r="G2318" t="str">
        <f>"00594116"</f>
        <v>00594116</v>
      </c>
      <c r="H2318">
        <v>35.6</v>
      </c>
      <c r="I2318">
        <v>0</v>
      </c>
      <c r="J2318">
        <v>8</v>
      </c>
      <c r="M2318">
        <v>8</v>
      </c>
      <c r="N2318">
        <v>4</v>
      </c>
      <c r="O2318">
        <v>2</v>
      </c>
      <c r="P2318">
        <v>49.6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0</v>
      </c>
      <c r="AC2318">
        <v>49.6</v>
      </c>
    </row>
    <row r="2319" spans="1:29">
      <c r="A2319">
        <v>2312</v>
      </c>
      <c r="B2319">
        <v>1854</v>
      </c>
      <c r="C2319" t="s">
        <v>4996</v>
      </c>
      <c r="D2319" t="s">
        <v>20</v>
      </c>
      <c r="E2319" t="s">
        <v>60</v>
      </c>
      <c r="F2319" t="s">
        <v>4997</v>
      </c>
      <c r="G2319" t="str">
        <f>"00415878"</f>
        <v>00415878</v>
      </c>
      <c r="H2319">
        <v>26.56</v>
      </c>
      <c r="I2319">
        <v>10</v>
      </c>
      <c r="M2319">
        <v>0</v>
      </c>
      <c r="N2319">
        <v>4</v>
      </c>
      <c r="O2319">
        <v>0</v>
      </c>
      <c r="P2319">
        <v>40.56</v>
      </c>
      <c r="Q2319">
        <v>0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9</v>
      </c>
      <c r="AA2319">
        <v>0</v>
      </c>
      <c r="AC2319">
        <v>49.56</v>
      </c>
    </row>
    <row r="2320" spans="1:29">
      <c r="A2320">
        <v>2313</v>
      </c>
      <c r="B2320">
        <v>4919</v>
      </c>
      <c r="C2320" t="s">
        <v>4998</v>
      </c>
      <c r="D2320" t="s">
        <v>164</v>
      </c>
      <c r="E2320" t="s">
        <v>835</v>
      </c>
      <c r="F2320" t="s">
        <v>4999</v>
      </c>
      <c r="G2320" t="str">
        <f>"00195803"</f>
        <v>00195803</v>
      </c>
      <c r="H2320">
        <v>31.56</v>
      </c>
      <c r="I2320">
        <v>10</v>
      </c>
      <c r="L2320">
        <v>4</v>
      </c>
      <c r="M2320">
        <v>4</v>
      </c>
      <c r="N2320">
        <v>4</v>
      </c>
      <c r="O2320">
        <v>0</v>
      </c>
      <c r="P2320">
        <v>49.56</v>
      </c>
      <c r="Q2320">
        <v>0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0</v>
      </c>
      <c r="AC2320">
        <v>49.56</v>
      </c>
    </row>
    <row r="2321" spans="1:29">
      <c r="A2321">
        <v>2314</v>
      </c>
      <c r="B2321">
        <v>1063</v>
      </c>
      <c r="C2321" t="s">
        <v>1280</v>
      </c>
      <c r="D2321" t="s">
        <v>24</v>
      </c>
      <c r="E2321" t="s">
        <v>873</v>
      </c>
      <c r="F2321" t="s">
        <v>5000</v>
      </c>
      <c r="G2321" t="str">
        <f>"00857155"</f>
        <v>00857155</v>
      </c>
      <c r="H2321">
        <v>27.56</v>
      </c>
      <c r="I2321">
        <v>10</v>
      </c>
      <c r="J2321">
        <v>8</v>
      </c>
      <c r="M2321">
        <v>8</v>
      </c>
      <c r="N2321">
        <v>4</v>
      </c>
      <c r="O2321">
        <v>0</v>
      </c>
      <c r="P2321">
        <v>49.56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v>0</v>
      </c>
      <c r="AA2321">
        <v>0</v>
      </c>
      <c r="AC2321">
        <v>49.56</v>
      </c>
    </row>
    <row r="2322" spans="1:29">
      <c r="A2322">
        <v>2315</v>
      </c>
      <c r="B2322">
        <v>300</v>
      </c>
      <c r="C2322" t="s">
        <v>2068</v>
      </c>
      <c r="D2322" t="s">
        <v>694</v>
      </c>
      <c r="E2322" t="s">
        <v>53</v>
      </c>
      <c r="F2322" t="s">
        <v>5001</v>
      </c>
      <c r="G2322" t="str">
        <f>"00367965"</f>
        <v>00367965</v>
      </c>
      <c r="H2322">
        <v>16.72</v>
      </c>
      <c r="I2322">
        <v>0</v>
      </c>
      <c r="M2322">
        <v>0</v>
      </c>
      <c r="N2322">
        <v>0</v>
      </c>
      <c r="O2322">
        <v>0</v>
      </c>
      <c r="P2322">
        <v>16.72</v>
      </c>
      <c r="Q2322">
        <v>0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6</v>
      </c>
      <c r="AA2322">
        <v>26.8</v>
      </c>
      <c r="AC2322">
        <v>49.52</v>
      </c>
    </row>
    <row r="2323" spans="1:29">
      <c r="A2323">
        <v>2316</v>
      </c>
      <c r="B2323">
        <v>1094</v>
      </c>
      <c r="C2323" t="s">
        <v>5002</v>
      </c>
      <c r="D2323" t="s">
        <v>1229</v>
      </c>
      <c r="E2323" t="s">
        <v>15</v>
      </c>
      <c r="F2323" t="s">
        <v>5003</v>
      </c>
      <c r="G2323" t="str">
        <f>"00534471"</f>
        <v>00534471</v>
      </c>
      <c r="H2323">
        <v>20.52</v>
      </c>
      <c r="I2323">
        <v>0</v>
      </c>
      <c r="J2323">
        <v>8</v>
      </c>
      <c r="M2323">
        <v>8</v>
      </c>
      <c r="N2323">
        <v>4</v>
      </c>
      <c r="O2323">
        <v>2</v>
      </c>
      <c r="P2323">
        <v>34.520000000000003</v>
      </c>
      <c r="Q2323">
        <v>6</v>
      </c>
      <c r="R2323">
        <v>6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6</v>
      </c>
      <c r="Z2323">
        <v>9</v>
      </c>
      <c r="AA2323">
        <v>0</v>
      </c>
      <c r="AC2323">
        <v>49.52</v>
      </c>
    </row>
    <row r="2324" spans="1:29">
      <c r="A2324">
        <v>2317</v>
      </c>
      <c r="B2324">
        <v>2800</v>
      </c>
      <c r="C2324" t="s">
        <v>5004</v>
      </c>
      <c r="D2324" t="s">
        <v>205</v>
      </c>
      <c r="E2324" t="s">
        <v>36</v>
      </c>
      <c r="F2324" t="s">
        <v>5005</v>
      </c>
      <c r="G2324" t="str">
        <f>"00379426"</f>
        <v>00379426</v>
      </c>
      <c r="H2324">
        <v>39.520000000000003</v>
      </c>
      <c r="I2324">
        <v>0</v>
      </c>
      <c r="M2324">
        <v>0</v>
      </c>
      <c r="N2324">
        <v>4</v>
      </c>
      <c r="O2324">
        <v>0</v>
      </c>
      <c r="P2324">
        <v>43.52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6</v>
      </c>
      <c r="AA2324">
        <v>0</v>
      </c>
      <c r="AC2324">
        <v>49.52</v>
      </c>
    </row>
    <row r="2325" spans="1:29">
      <c r="A2325">
        <v>2318</v>
      </c>
      <c r="B2325">
        <v>2467</v>
      </c>
      <c r="C2325" t="s">
        <v>5006</v>
      </c>
      <c r="D2325" t="s">
        <v>465</v>
      </c>
      <c r="E2325" t="s">
        <v>322</v>
      </c>
      <c r="F2325" t="s">
        <v>5007</v>
      </c>
      <c r="G2325" t="str">
        <f>"00531336"</f>
        <v>00531336</v>
      </c>
      <c r="H2325">
        <v>32.44</v>
      </c>
      <c r="I2325">
        <v>0</v>
      </c>
      <c r="M2325">
        <v>0</v>
      </c>
      <c r="N2325">
        <v>0</v>
      </c>
      <c r="O2325">
        <v>0</v>
      </c>
      <c r="P2325">
        <v>32.44</v>
      </c>
      <c r="Q2325">
        <v>8</v>
      </c>
      <c r="R2325">
        <v>8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8</v>
      </c>
      <c r="Z2325">
        <v>9</v>
      </c>
      <c r="AA2325">
        <v>0</v>
      </c>
      <c r="AC2325">
        <v>49.44</v>
      </c>
    </row>
    <row r="2326" spans="1:29">
      <c r="A2326">
        <v>2319</v>
      </c>
      <c r="B2326">
        <v>3666</v>
      </c>
      <c r="C2326" t="s">
        <v>5008</v>
      </c>
      <c r="D2326" t="s">
        <v>130</v>
      </c>
      <c r="E2326" t="s">
        <v>79</v>
      </c>
      <c r="F2326" t="s">
        <v>5009</v>
      </c>
      <c r="G2326" t="str">
        <f>"00555859"</f>
        <v>00555859</v>
      </c>
      <c r="H2326">
        <v>29.44</v>
      </c>
      <c r="I2326">
        <v>10</v>
      </c>
      <c r="M2326">
        <v>0</v>
      </c>
      <c r="N2326">
        <v>4</v>
      </c>
      <c r="O2326">
        <v>0</v>
      </c>
      <c r="P2326">
        <v>43.44</v>
      </c>
      <c r="Q2326">
        <v>0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6</v>
      </c>
      <c r="AA2326">
        <v>0</v>
      </c>
      <c r="AC2326">
        <v>49.44</v>
      </c>
    </row>
    <row r="2327" spans="1:29">
      <c r="A2327">
        <v>2320</v>
      </c>
      <c r="B2327">
        <v>545</v>
      </c>
      <c r="C2327" t="s">
        <v>4942</v>
      </c>
      <c r="D2327" t="s">
        <v>5010</v>
      </c>
      <c r="E2327" t="s">
        <v>15</v>
      </c>
      <c r="F2327" t="s">
        <v>5011</v>
      </c>
      <c r="G2327" t="str">
        <f>"00516673"</f>
        <v>00516673</v>
      </c>
      <c r="H2327">
        <v>19.440000000000001</v>
      </c>
      <c r="I2327">
        <v>0</v>
      </c>
      <c r="M2327">
        <v>0</v>
      </c>
      <c r="N2327">
        <v>4</v>
      </c>
      <c r="O2327">
        <v>2</v>
      </c>
      <c r="P2327">
        <v>25.44</v>
      </c>
      <c r="Q2327">
        <v>18</v>
      </c>
      <c r="R2327">
        <v>18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18</v>
      </c>
      <c r="Z2327">
        <v>6</v>
      </c>
      <c r="AA2327">
        <v>0</v>
      </c>
      <c r="AC2327">
        <v>49.44</v>
      </c>
    </row>
    <row r="2328" spans="1:29">
      <c r="A2328">
        <v>2321</v>
      </c>
      <c r="B2328">
        <v>1332</v>
      </c>
      <c r="C2328" t="s">
        <v>5012</v>
      </c>
      <c r="D2328" t="s">
        <v>251</v>
      </c>
      <c r="E2328" t="s">
        <v>873</v>
      </c>
      <c r="F2328" t="s">
        <v>5013</v>
      </c>
      <c r="G2328" t="str">
        <f>"00311154"</f>
        <v>00311154</v>
      </c>
      <c r="H2328">
        <v>14.4</v>
      </c>
      <c r="I2328">
        <v>0</v>
      </c>
      <c r="M2328">
        <v>0</v>
      </c>
      <c r="N2328">
        <v>4</v>
      </c>
      <c r="O2328">
        <v>0</v>
      </c>
      <c r="P2328">
        <v>18.399999999999999</v>
      </c>
      <c r="Q2328">
        <v>19</v>
      </c>
      <c r="R2328">
        <v>19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19</v>
      </c>
      <c r="Z2328">
        <v>12</v>
      </c>
      <c r="AA2328">
        <v>0</v>
      </c>
      <c r="AC2328">
        <v>49.4</v>
      </c>
    </row>
    <row r="2329" spans="1:29">
      <c r="A2329">
        <v>2322</v>
      </c>
      <c r="B2329">
        <v>4094</v>
      </c>
      <c r="C2329" t="s">
        <v>5014</v>
      </c>
      <c r="D2329" t="s">
        <v>20</v>
      </c>
      <c r="E2329" t="s">
        <v>66</v>
      </c>
      <c r="F2329" t="s">
        <v>5015</v>
      </c>
      <c r="G2329" t="str">
        <f>"00282231"</f>
        <v>00282231</v>
      </c>
      <c r="H2329">
        <v>37.32</v>
      </c>
      <c r="I2329">
        <v>0</v>
      </c>
      <c r="J2329">
        <v>8</v>
      </c>
      <c r="M2329">
        <v>8</v>
      </c>
      <c r="N2329">
        <v>4</v>
      </c>
      <c r="O2329">
        <v>0</v>
      </c>
      <c r="P2329">
        <v>49.32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0</v>
      </c>
      <c r="AC2329">
        <v>49.32</v>
      </c>
    </row>
    <row r="2330" spans="1:29">
      <c r="A2330">
        <v>2323</v>
      </c>
      <c r="B2330">
        <v>486</v>
      </c>
      <c r="C2330" t="s">
        <v>5016</v>
      </c>
      <c r="D2330" t="s">
        <v>52</v>
      </c>
      <c r="E2330" t="s">
        <v>237</v>
      </c>
      <c r="F2330" t="s">
        <v>5017</v>
      </c>
      <c r="G2330" t="str">
        <f>"00505597"</f>
        <v>00505597</v>
      </c>
      <c r="H2330">
        <v>16.28</v>
      </c>
      <c r="I2330">
        <v>10</v>
      </c>
      <c r="M2330">
        <v>0</v>
      </c>
      <c r="N2330">
        <v>4</v>
      </c>
      <c r="O2330">
        <v>0</v>
      </c>
      <c r="P2330">
        <v>30.28</v>
      </c>
      <c r="Q2330">
        <v>13</v>
      </c>
      <c r="R2330">
        <v>13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13</v>
      </c>
      <c r="Z2330">
        <v>6</v>
      </c>
      <c r="AA2330">
        <v>0</v>
      </c>
      <c r="AC2330">
        <v>49.28</v>
      </c>
    </row>
    <row r="2331" spans="1:29">
      <c r="A2331">
        <v>2324</v>
      </c>
      <c r="B2331">
        <v>3261</v>
      </c>
      <c r="C2331" t="s">
        <v>5018</v>
      </c>
      <c r="D2331" t="s">
        <v>52</v>
      </c>
      <c r="E2331" t="s">
        <v>89</v>
      </c>
      <c r="F2331" t="s">
        <v>5019</v>
      </c>
      <c r="G2331" t="str">
        <f>"00531693"</f>
        <v>00531693</v>
      </c>
      <c r="H2331">
        <v>30.24</v>
      </c>
      <c r="I2331">
        <v>0</v>
      </c>
      <c r="M2331">
        <v>0</v>
      </c>
      <c r="N2331">
        <v>4</v>
      </c>
      <c r="O2331">
        <v>0</v>
      </c>
      <c r="P2331">
        <v>34.24</v>
      </c>
      <c r="Q2331">
        <v>6</v>
      </c>
      <c r="R2331">
        <v>6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6</v>
      </c>
      <c r="Z2331">
        <v>9</v>
      </c>
      <c r="AA2331">
        <v>0</v>
      </c>
      <c r="AC2331">
        <v>49.24</v>
      </c>
    </row>
    <row r="2332" spans="1:29">
      <c r="A2332">
        <v>2325</v>
      </c>
      <c r="B2332">
        <v>4264</v>
      </c>
      <c r="C2332" t="s">
        <v>5020</v>
      </c>
      <c r="D2332" t="s">
        <v>5021</v>
      </c>
      <c r="E2332" t="s">
        <v>156</v>
      </c>
      <c r="F2332" t="s">
        <v>5022</v>
      </c>
      <c r="G2332" t="str">
        <f>"00781897"</f>
        <v>00781897</v>
      </c>
      <c r="H2332">
        <v>43.2</v>
      </c>
      <c r="I2332">
        <v>0</v>
      </c>
      <c r="M2332">
        <v>0</v>
      </c>
      <c r="N2332">
        <v>0</v>
      </c>
      <c r="O2332">
        <v>0</v>
      </c>
      <c r="P2332">
        <v>43.2</v>
      </c>
      <c r="Q2332">
        <v>0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v>6</v>
      </c>
      <c r="AA2332">
        <v>0</v>
      </c>
      <c r="AC2332">
        <v>49.2</v>
      </c>
    </row>
    <row r="2333" spans="1:29">
      <c r="A2333">
        <v>2326</v>
      </c>
      <c r="B2333">
        <v>4324</v>
      </c>
      <c r="C2333" t="s">
        <v>5023</v>
      </c>
      <c r="D2333" t="s">
        <v>27</v>
      </c>
      <c r="E2333" t="s">
        <v>134</v>
      </c>
      <c r="F2333" t="s">
        <v>5024</v>
      </c>
      <c r="G2333" t="str">
        <f>"00627955"</f>
        <v>00627955</v>
      </c>
      <c r="H2333">
        <v>39.200000000000003</v>
      </c>
      <c r="I2333">
        <v>0</v>
      </c>
      <c r="M2333">
        <v>0</v>
      </c>
      <c r="N2333">
        <v>4</v>
      </c>
      <c r="O2333">
        <v>0</v>
      </c>
      <c r="P2333">
        <v>43.2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6</v>
      </c>
      <c r="AA2333">
        <v>0</v>
      </c>
      <c r="AC2333">
        <v>49.2</v>
      </c>
    </row>
    <row r="2334" spans="1:29">
      <c r="A2334">
        <v>2327</v>
      </c>
      <c r="B2334">
        <v>667</v>
      </c>
      <c r="C2334" t="s">
        <v>5025</v>
      </c>
      <c r="D2334" t="s">
        <v>557</v>
      </c>
      <c r="E2334" t="s">
        <v>79</v>
      </c>
      <c r="F2334" t="s">
        <v>5026</v>
      </c>
      <c r="G2334" t="str">
        <f>"00496358"</f>
        <v>00496358</v>
      </c>
      <c r="H2334">
        <v>7.2</v>
      </c>
      <c r="I2334">
        <v>10</v>
      </c>
      <c r="J2334">
        <v>8</v>
      </c>
      <c r="M2334">
        <v>8</v>
      </c>
      <c r="N2334">
        <v>4</v>
      </c>
      <c r="O2334">
        <v>2</v>
      </c>
      <c r="P2334">
        <v>31.2</v>
      </c>
      <c r="Q2334">
        <v>12</v>
      </c>
      <c r="R2334">
        <v>12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12</v>
      </c>
      <c r="Z2334">
        <v>6</v>
      </c>
      <c r="AA2334">
        <v>0</v>
      </c>
      <c r="AC2334">
        <v>49.2</v>
      </c>
    </row>
    <row r="2335" spans="1:29">
      <c r="A2335">
        <v>2328</v>
      </c>
      <c r="B2335">
        <v>3165</v>
      </c>
      <c r="C2335" t="s">
        <v>5027</v>
      </c>
      <c r="D2335" t="s">
        <v>2000</v>
      </c>
      <c r="E2335" t="s">
        <v>18</v>
      </c>
      <c r="F2335" t="s">
        <v>5028</v>
      </c>
      <c r="G2335" t="str">
        <f>"201507004974"</f>
        <v>201507004974</v>
      </c>
      <c r="H2335">
        <v>7.2</v>
      </c>
      <c r="I2335">
        <v>0</v>
      </c>
      <c r="M2335">
        <v>0</v>
      </c>
      <c r="N2335">
        <v>4</v>
      </c>
      <c r="O2335">
        <v>2</v>
      </c>
      <c r="P2335">
        <v>13.2</v>
      </c>
      <c r="Q2335">
        <v>30</v>
      </c>
      <c r="R2335">
        <v>30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30</v>
      </c>
      <c r="Z2335">
        <v>6</v>
      </c>
      <c r="AA2335">
        <v>0</v>
      </c>
      <c r="AB2335" t="s">
        <v>128</v>
      </c>
      <c r="AC2335">
        <v>49.2</v>
      </c>
    </row>
    <row r="2336" spans="1:29">
      <c r="A2336">
        <v>2329</v>
      </c>
      <c r="B2336">
        <v>2093</v>
      </c>
      <c r="C2336" t="s">
        <v>5039</v>
      </c>
      <c r="D2336" t="s">
        <v>5040</v>
      </c>
      <c r="E2336" t="s">
        <v>53</v>
      </c>
      <c r="F2336" t="s">
        <v>5041</v>
      </c>
      <c r="G2336" t="str">
        <f>"00864766"</f>
        <v>00864766</v>
      </c>
      <c r="H2336">
        <v>43.2</v>
      </c>
      <c r="I2336">
        <v>0</v>
      </c>
      <c r="L2336">
        <v>4</v>
      </c>
      <c r="M2336">
        <v>4</v>
      </c>
      <c r="N2336">
        <v>0</v>
      </c>
      <c r="O2336">
        <v>2</v>
      </c>
      <c r="P2336">
        <v>49.2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0</v>
      </c>
      <c r="AA2336">
        <v>0</v>
      </c>
      <c r="AC2336">
        <v>49.2</v>
      </c>
    </row>
    <row r="2337" spans="1:29">
      <c r="A2337">
        <v>2330</v>
      </c>
      <c r="B2337">
        <v>2706</v>
      </c>
      <c r="C2337" t="s">
        <v>2455</v>
      </c>
      <c r="D2337" t="s">
        <v>962</v>
      </c>
      <c r="E2337" t="s">
        <v>28</v>
      </c>
      <c r="F2337" t="s">
        <v>5047</v>
      </c>
      <c r="G2337" t="str">
        <f>"00857941"</f>
        <v>00857941</v>
      </c>
      <c r="H2337">
        <v>43.2</v>
      </c>
      <c r="I2337">
        <v>0</v>
      </c>
      <c r="L2337">
        <v>4</v>
      </c>
      <c r="M2337">
        <v>4</v>
      </c>
      <c r="N2337">
        <v>0</v>
      </c>
      <c r="O2337">
        <v>2</v>
      </c>
      <c r="P2337">
        <v>49.2</v>
      </c>
      <c r="Q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0</v>
      </c>
      <c r="AA2337">
        <v>0</v>
      </c>
      <c r="AC2337">
        <v>49.2</v>
      </c>
    </row>
    <row r="2338" spans="1:29">
      <c r="A2338">
        <v>2331</v>
      </c>
      <c r="B2338">
        <v>3545</v>
      </c>
      <c r="C2338" t="s">
        <v>4621</v>
      </c>
      <c r="D2338" t="s">
        <v>185</v>
      </c>
      <c r="E2338" t="s">
        <v>436</v>
      </c>
      <c r="F2338" t="s">
        <v>5034</v>
      </c>
      <c r="G2338" t="str">
        <f>"00861019"</f>
        <v>00861019</v>
      </c>
      <c r="H2338">
        <v>43.2</v>
      </c>
      <c r="I2338">
        <v>0</v>
      </c>
      <c r="M2338">
        <v>0</v>
      </c>
      <c r="N2338">
        <v>4</v>
      </c>
      <c r="O2338">
        <v>2</v>
      </c>
      <c r="P2338">
        <v>49.2</v>
      </c>
      <c r="Q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0</v>
      </c>
      <c r="AC2338">
        <v>49.2</v>
      </c>
    </row>
    <row r="2339" spans="1:29">
      <c r="A2339">
        <v>2332</v>
      </c>
      <c r="B2339">
        <v>821</v>
      </c>
      <c r="C2339" t="s">
        <v>5042</v>
      </c>
      <c r="D2339" t="s">
        <v>98</v>
      </c>
      <c r="E2339" t="s">
        <v>79</v>
      </c>
      <c r="F2339" t="s">
        <v>5043</v>
      </c>
      <c r="G2339" t="str">
        <f>"00857014"</f>
        <v>00857014</v>
      </c>
      <c r="H2339">
        <v>43.2</v>
      </c>
      <c r="I2339">
        <v>0</v>
      </c>
      <c r="M2339">
        <v>0</v>
      </c>
      <c r="N2339">
        <v>4</v>
      </c>
      <c r="O2339">
        <v>2</v>
      </c>
      <c r="P2339">
        <v>49.2</v>
      </c>
      <c r="Q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  <c r="AA2339">
        <v>0</v>
      </c>
      <c r="AC2339">
        <v>49.2</v>
      </c>
    </row>
    <row r="2340" spans="1:29">
      <c r="A2340">
        <v>2333</v>
      </c>
      <c r="B2340">
        <v>2495</v>
      </c>
      <c r="C2340" t="s">
        <v>5044</v>
      </c>
      <c r="D2340" t="s">
        <v>5045</v>
      </c>
      <c r="E2340" t="s">
        <v>18</v>
      </c>
      <c r="F2340" t="s">
        <v>5046</v>
      </c>
      <c r="G2340" t="str">
        <f>"00729296"</f>
        <v>00729296</v>
      </c>
      <c r="H2340">
        <v>43.2</v>
      </c>
      <c r="I2340">
        <v>0</v>
      </c>
      <c r="M2340">
        <v>0</v>
      </c>
      <c r="N2340">
        <v>4</v>
      </c>
      <c r="O2340">
        <v>2</v>
      </c>
      <c r="P2340">
        <v>49.2</v>
      </c>
      <c r="Q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0</v>
      </c>
      <c r="AC2340">
        <v>49.2</v>
      </c>
    </row>
    <row r="2341" spans="1:29">
      <c r="A2341">
        <v>2334</v>
      </c>
      <c r="B2341">
        <v>2117</v>
      </c>
      <c r="C2341" t="s">
        <v>5029</v>
      </c>
      <c r="D2341" t="s">
        <v>159</v>
      </c>
      <c r="E2341" t="s">
        <v>18</v>
      </c>
      <c r="F2341" t="s">
        <v>5030</v>
      </c>
      <c r="G2341" t="str">
        <f>"00860142"</f>
        <v>00860142</v>
      </c>
      <c r="H2341">
        <v>43.2</v>
      </c>
      <c r="I2341">
        <v>0</v>
      </c>
      <c r="M2341">
        <v>0</v>
      </c>
      <c r="N2341">
        <v>4</v>
      </c>
      <c r="O2341">
        <v>2</v>
      </c>
      <c r="P2341">
        <v>49.2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0</v>
      </c>
      <c r="AC2341">
        <v>49.2</v>
      </c>
    </row>
    <row r="2342" spans="1:29">
      <c r="A2342">
        <v>2335</v>
      </c>
      <c r="B2342">
        <v>2887</v>
      </c>
      <c r="C2342" t="s">
        <v>5036</v>
      </c>
      <c r="D2342" t="s">
        <v>544</v>
      </c>
      <c r="E2342" t="s">
        <v>5037</v>
      </c>
      <c r="F2342" t="s">
        <v>5038</v>
      </c>
      <c r="G2342" t="str">
        <f>"00726693"</f>
        <v>00726693</v>
      </c>
      <c r="H2342">
        <v>43.2</v>
      </c>
      <c r="I2342">
        <v>0</v>
      </c>
      <c r="M2342">
        <v>0</v>
      </c>
      <c r="N2342">
        <v>4</v>
      </c>
      <c r="O2342">
        <v>2</v>
      </c>
      <c r="P2342">
        <v>49.2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0</v>
      </c>
      <c r="AC2342">
        <v>49.2</v>
      </c>
    </row>
    <row r="2343" spans="1:29">
      <c r="A2343">
        <v>2336</v>
      </c>
      <c r="B2343">
        <v>3687</v>
      </c>
      <c r="C2343" t="s">
        <v>5031</v>
      </c>
      <c r="D2343" t="s">
        <v>5032</v>
      </c>
      <c r="E2343" t="s">
        <v>79</v>
      </c>
      <c r="F2343" t="s">
        <v>5033</v>
      </c>
      <c r="G2343" t="str">
        <f>"00666624"</f>
        <v>00666624</v>
      </c>
      <c r="H2343">
        <v>43.2</v>
      </c>
      <c r="I2343">
        <v>0</v>
      </c>
      <c r="L2343">
        <v>4</v>
      </c>
      <c r="M2343">
        <v>4</v>
      </c>
      <c r="N2343">
        <v>0</v>
      </c>
      <c r="O2343">
        <v>2</v>
      </c>
      <c r="P2343">
        <v>49.2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v>0</v>
      </c>
      <c r="AA2343">
        <v>0</v>
      </c>
      <c r="AC2343">
        <v>49.2</v>
      </c>
    </row>
    <row r="2344" spans="1:29">
      <c r="A2344">
        <v>2337</v>
      </c>
      <c r="B2344">
        <v>3550</v>
      </c>
      <c r="C2344" t="s">
        <v>2673</v>
      </c>
      <c r="D2344" t="s">
        <v>2473</v>
      </c>
      <c r="E2344" t="s">
        <v>15</v>
      </c>
      <c r="F2344" t="s">
        <v>5035</v>
      </c>
      <c r="G2344" t="str">
        <f>"201511011321"</f>
        <v>201511011321</v>
      </c>
      <c r="H2344">
        <v>43.2</v>
      </c>
      <c r="I2344">
        <v>0</v>
      </c>
      <c r="M2344">
        <v>0</v>
      </c>
      <c r="N2344">
        <v>4</v>
      </c>
      <c r="O2344">
        <v>2</v>
      </c>
      <c r="P2344">
        <v>49.2</v>
      </c>
      <c r="Q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  <c r="AC2344">
        <v>49.2</v>
      </c>
    </row>
    <row r="2345" spans="1:29">
      <c r="A2345">
        <v>2338</v>
      </c>
      <c r="B2345">
        <v>3051</v>
      </c>
      <c r="C2345" t="s">
        <v>5053</v>
      </c>
      <c r="D2345" t="s">
        <v>5054</v>
      </c>
      <c r="E2345" t="s">
        <v>134</v>
      </c>
      <c r="F2345" t="s">
        <v>5055</v>
      </c>
      <c r="G2345" t="str">
        <f>"00549911"</f>
        <v>00549911</v>
      </c>
      <c r="H2345">
        <v>39.200000000000003</v>
      </c>
      <c r="I2345">
        <v>0</v>
      </c>
      <c r="L2345">
        <v>4</v>
      </c>
      <c r="M2345">
        <v>4</v>
      </c>
      <c r="N2345">
        <v>4</v>
      </c>
      <c r="O2345">
        <v>2</v>
      </c>
      <c r="P2345">
        <v>49.2</v>
      </c>
      <c r="Q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0</v>
      </c>
      <c r="AC2345">
        <v>49.2</v>
      </c>
    </row>
    <row r="2346" spans="1:29">
      <c r="A2346">
        <v>2339</v>
      </c>
      <c r="B2346">
        <v>2442</v>
      </c>
      <c r="C2346" t="s">
        <v>3007</v>
      </c>
      <c r="D2346" t="s">
        <v>1115</v>
      </c>
      <c r="E2346" t="s">
        <v>79</v>
      </c>
      <c r="F2346" t="s">
        <v>5056</v>
      </c>
      <c r="G2346" t="str">
        <f>"00526722"</f>
        <v>00526722</v>
      </c>
      <c r="H2346">
        <v>39.200000000000003</v>
      </c>
      <c r="I2346">
        <v>0</v>
      </c>
      <c r="L2346">
        <v>4</v>
      </c>
      <c r="M2346">
        <v>4</v>
      </c>
      <c r="N2346">
        <v>4</v>
      </c>
      <c r="O2346">
        <v>2</v>
      </c>
      <c r="P2346">
        <v>49.2</v>
      </c>
      <c r="Q2346">
        <v>0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0</v>
      </c>
      <c r="AA2346">
        <v>0</v>
      </c>
      <c r="AC2346">
        <v>49.2</v>
      </c>
    </row>
    <row r="2347" spans="1:29">
      <c r="A2347">
        <v>2340</v>
      </c>
      <c r="B2347">
        <v>1492</v>
      </c>
      <c r="C2347" t="s">
        <v>5051</v>
      </c>
      <c r="D2347" t="s">
        <v>216</v>
      </c>
      <c r="E2347" t="s">
        <v>89</v>
      </c>
      <c r="F2347" t="s">
        <v>5052</v>
      </c>
      <c r="G2347" t="str">
        <f>"00360578"</f>
        <v>00360578</v>
      </c>
      <c r="H2347">
        <v>39.200000000000003</v>
      </c>
      <c r="I2347">
        <v>10</v>
      </c>
      <c r="M2347">
        <v>0</v>
      </c>
      <c r="N2347">
        <v>0</v>
      </c>
      <c r="O2347">
        <v>0</v>
      </c>
      <c r="P2347">
        <v>49.2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  <c r="AC2347">
        <v>49.2</v>
      </c>
    </row>
    <row r="2348" spans="1:29">
      <c r="A2348">
        <v>2341</v>
      </c>
      <c r="B2348">
        <v>2765</v>
      </c>
      <c r="C2348" t="s">
        <v>5048</v>
      </c>
      <c r="D2348" t="s">
        <v>5049</v>
      </c>
      <c r="E2348" t="s">
        <v>77</v>
      </c>
      <c r="F2348" t="s">
        <v>5050</v>
      </c>
      <c r="G2348" t="str">
        <f>"00860924"</f>
        <v>00860924</v>
      </c>
      <c r="H2348">
        <v>39.200000000000003</v>
      </c>
      <c r="I2348">
        <v>0</v>
      </c>
      <c r="L2348">
        <v>4</v>
      </c>
      <c r="M2348">
        <v>4</v>
      </c>
      <c r="N2348">
        <v>4</v>
      </c>
      <c r="O2348">
        <v>2</v>
      </c>
      <c r="P2348">
        <v>49.2</v>
      </c>
      <c r="Q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0</v>
      </c>
      <c r="AC2348">
        <v>49.2</v>
      </c>
    </row>
    <row r="2349" spans="1:29">
      <c r="A2349">
        <v>2342</v>
      </c>
      <c r="B2349">
        <v>2151</v>
      </c>
      <c r="C2349" t="s">
        <v>415</v>
      </c>
      <c r="D2349" t="s">
        <v>175</v>
      </c>
      <c r="E2349" t="s">
        <v>15</v>
      </c>
      <c r="F2349" t="s">
        <v>5057</v>
      </c>
      <c r="G2349" t="str">
        <f>"00857390"</f>
        <v>00857390</v>
      </c>
      <c r="H2349">
        <v>37.200000000000003</v>
      </c>
      <c r="I2349">
        <v>10</v>
      </c>
      <c r="M2349">
        <v>0</v>
      </c>
      <c r="N2349">
        <v>0</v>
      </c>
      <c r="O2349">
        <v>2</v>
      </c>
      <c r="P2349">
        <v>49.2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0</v>
      </c>
      <c r="Z2349">
        <v>0</v>
      </c>
      <c r="AA2349">
        <v>0</v>
      </c>
      <c r="AC2349">
        <v>49.2</v>
      </c>
    </row>
    <row r="2350" spans="1:29">
      <c r="A2350">
        <v>2343</v>
      </c>
      <c r="B2350">
        <v>2448</v>
      </c>
      <c r="C2350" t="s">
        <v>5058</v>
      </c>
      <c r="D2350" t="s">
        <v>35</v>
      </c>
      <c r="E2350" t="s">
        <v>2600</v>
      </c>
      <c r="F2350" t="s">
        <v>5059</v>
      </c>
      <c r="G2350" t="str">
        <f>"00023346"</f>
        <v>00023346</v>
      </c>
      <c r="H2350">
        <v>39.119999999999997</v>
      </c>
      <c r="I2350">
        <v>0</v>
      </c>
      <c r="M2350">
        <v>0</v>
      </c>
      <c r="N2350">
        <v>4</v>
      </c>
      <c r="O2350">
        <v>0</v>
      </c>
      <c r="P2350">
        <v>43.12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6</v>
      </c>
      <c r="AA2350">
        <v>0</v>
      </c>
      <c r="AC2350">
        <v>49.12</v>
      </c>
    </row>
    <row r="2351" spans="1:29">
      <c r="A2351">
        <v>2344</v>
      </c>
      <c r="B2351">
        <v>3326</v>
      </c>
      <c r="C2351" t="s">
        <v>3242</v>
      </c>
      <c r="D2351" t="s">
        <v>27</v>
      </c>
      <c r="E2351" t="s">
        <v>233</v>
      </c>
      <c r="F2351" t="s">
        <v>5060</v>
      </c>
      <c r="G2351" t="str">
        <f>"00705664"</f>
        <v>00705664</v>
      </c>
      <c r="H2351">
        <v>39.119999999999997</v>
      </c>
      <c r="I2351">
        <v>0</v>
      </c>
      <c r="L2351">
        <v>4</v>
      </c>
      <c r="M2351">
        <v>4</v>
      </c>
      <c r="N2351">
        <v>0</v>
      </c>
      <c r="O2351">
        <v>0</v>
      </c>
      <c r="P2351">
        <v>43.12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6</v>
      </c>
      <c r="AA2351">
        <v>0</v>
      </c>
      <c r="AC2351">
        <v>49.12</v>
      </c>
    </row>
    <row r="2352" spans="1:29">
      <c r="A2352">
        <v>2345</v>
      </c>
      <c r="B2352">
        <v>3833</v>
      </c>
      <c r="C2352" t="s">
        <v>5061</v>
      </c>
      <c r="D2352" t="s">
        <v>36</v>
      </c>
      <c r="E2352" t="s">
        <v>79</v>
      </c>
      <c r="F2352" t="s">
        <v>5062</v>
      </c>
      <c r="G2352" t="str">
        <f>"00862564"</f>
        <v>00862564</v>
      </c>
      <c r="H2352">
        <v>31.12</v>
      </c>
      <c r="I2352">
        <v>0</v>
      </c>
      <c r="J2352">
        <v>8</v>
      </c>
      <c r="L2352">
        <v>4</v>
      </c>
      <c r="M2352">
        <v>12</v>
      </c>
      <c r="N2352">
        <v>0</v>
      </c>
      <c r="O2352">
        <v>0</v>
      </c>
      <c r="P2352">
        <v>43.12</v>
      </c>
      <c r="Q2352">
        <v>0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0</v>
      </c>
      <c r="Z2352">
        <v>6</v>
      </c>
      <c r="AA2352">
        <v>0</v>
      </c>
      <c r="AC2352">
        <v>49.12</v>
      </c>
    </row>
    <row r="2353" spans="1:29">
      <c r="A2353">
        <v>2346</v>
      </c>
      <c r="B2353">
        <v>3241</v>
      </c>
      <c r="C2353" t="s">
        <v>1743</v>
      </c>
      <c r="D2353" t="s">
        <v>205</v>
      </c>
      <c r="E2353" t="s">
        <v>66</v>
      </c>
      <c r="F2353" t="s">
        <v>5063</v>
      </c>
      <c r="G2353" t="str">
        <f>"200712004522"</f>
        <v>200712004522</v>
      </c>
      <c r="H2353">
        <v>40</v>
      </c>
      <c r="I2353">
        <v>0</v>
      </c>
      <c r="M2353">
        <v>0</v>
      </c>
      <c r="N2353">
        <v>0</v>
      </c>
      <c r="O2353">
        <v>0</v>
      </c>
      <c r="P2353">
        <v>40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9</v>
      </c>
      <c r="AA2353">
        <v>0</v>
      </c>
      <c r="AC2353">
        <v>49</v>
      </c>
    </row>
    <row r="2354" spans="1:29">
      <c r="A2354">
        <v>2347</v>
      </c>
      <c r="B2354">
        <v>2688</v>
      </c>
      <c r="C2354" t="s">
        <v>5068</v>
      </c>
      <c r="D2354" t="s">
        <v>27</v>
      </c>
      <c r="E2354" t="s">
        <v>156</v>
      </c>
      <c r="F2354" t="s">
        <v>5069</v>
      </c>
      <c r="G2354" t="str">
        <f>"00858933"</f>
        <v>00858933</v>
      </c>
      <c r="H2354">
        <v>36</v>
      </c>
      <c r="I2354">
        <v>0</v>
      </c>
      <c r="L2354">
        <v>4</v>
      </c>
      <c r="M2354">
        <v>4</v>
      </c>
      <c r="N2354">
        <v>0</v>
      </c>
      <c r="O2354">
        <v>0</v>
      </c>
      <c r="P2354">
        <v>40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9</v>
      </c>
      <c r="AA2354">
        <v>0</v>
      </c>
      <c r="AC2354">
        <v>49</v>
      </c>
    </row>
    <row r="2355" spans="1:29">
      <c r="A2355">
        <v>2348</v>
      </c>
      <c r="B2355">
        <v>4487</v>
      </c>
      <c r="C2355" t="s">
        <v>5066</v>
      </c>
      <c r="D2355" t="s">
        <v>4963</v>
      </c>
      <c r="E2355" t="s">
        <v>79</v>
      </c>
      <c r="F2355" t="s">
        <v>5067</v>
      </c>
      <c r="G2355" t="str">
        <f>"00805260"</f>
        <v>00805260</v>
      </c>
      <c r="H2355">
        <v>36</v>
      </c>
      <c r="I2355">
        <v>0</v>
      </c>
      <c r="M2355">
        <v>0</v>
      </c>
      <c r="N2355">
        <v>4</v>
      </c>
      <c r="O2355">
        <v>0</v>
      </c>
      <c r="P2355">
        <v>40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9</v>
      </c>
      <c r="AA2355">
        <v>0</v>
      </c>
      <c r="AC2355">
        <v>49</v>
      </c>
    </row>
    <row r="2356" spans="1:29">
      <c r="A2356">
        <v>2349</v>
      </c>
      <c r="B2356">
        <v>4341</v>
      </c>
      <c r="C2356" t="s">
        <v>5064</v>
      </c>
      <c r="D2356" t="s">
        <v>1474</v>
      </c>
      <c r="E2356" t="s">
        <v>36</v>
      </c>
      <c r="F2356" t="s">
        <v>5065</v>
      </c>
      <c r="G2356" t="str">
        <f>"00409291"</f>
        <v>00409291</v>
      </c>
      <c r="H2356">
        <v>36</v>
      </c>
      <c r="I2356">
        <v>0</v>
      </c>
      <c r="M2356">
        <v>0</v>
      </c>
      <c r="N2356">
        <v>4</v>
      </c>
      <c r="O2356">
        <v>0</v>
      </c>
      <c r="P2356">
        <v>40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9</v>
      </c>
      <c r="AA2356">
        <v>0</v>
      </c>
      <c r="AC2356">
        <v>49</v>
      </c>
    </row>
    <row r="2357" spans="1:29">
      <c r="A2357">
        <v>2350</v>
      </c>
      <c r="B2357">
        <v>3597</v>
      </c>
      <c r="C2357" t="s">
        <v>5070</v>
      </c>
      <c r="D2357" t="s">
        <v>784</v>
      </c>
      <c r="E2357" t="s">
        <v>18</v>
      </c>
      <c r="F2357" t="s">
        <v>5071</v>
      </c>
      <c r="G2357" t="str">
        <f>"200802007638"</f>
        <v>200802007638</v>
      </c>
      <c r="H2357">
        <v>36</v>
      </c>
      <c r="I2357">
        <v>0</v>
      </c>
      <c r="K2357">
        <v>6</v>
      </c>
      <c r="M2357">
        <v>6</v>
      </c>
      <c r="N2357">
        <v>4</v>
      </c>
      <c r="O2357">
        <v>0</v>
      </c>
      <c r="P2357">
        <v>46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3</v>
      </c>
      <c r="AA2357">
        <v>0</v>
      </c>
      <c r="AC2357">
        <v>49</v>
      </c>
    </row>
    <row r="2358" spans="1:29">
      <c r="A2358">
        <v>2351</v>
      </c>
      <c r="B2358">
        <v>253</v>
      </c>
      <c r="C2358" t="s">
        <v>5072</v>
      </c>
      <c r="D2358" t="s">
        <v>1660</v>
      </c>
      <c r="E2358" t="s">
        <v>237</v>
      </c>
      <c r="F2358" t="s">
        <v>5073</v>
      </c>
      <c r="G2358" t="str">
        <f>"00246714"</f>
        <v>00246714</v>
      </c>
      <c r="H2358">
        <v>36</v>
      </c>
      <c r="I2358">
        <v>0</v>
      </c>
      <c r="L2358">
        <v>4</v>
      </c>
      <c r="M2358">
        <v>4</v>
      </c>
      <c r="N2358">
        <v>4</v>
      </c>
      <c r="O2358">
        <v>2</v>
      </c>
      <c r="P2358">
        <v>46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3</v>
      </c>
      <c r="AA2358">
        <v>0</v>
      </c>
      <c r="AC2358">
        <v>49</v>
      </c>
    </row>
    <row r="2359" spans="1:29">
      <c r="A2359">
        <v>2352</v>
      </c>
      <c r="B2359">
        <v>2380</v>
      </c>
      <c r="C2359" t="s">
        <v>5074</v>
      </c>
      <c r="D2359" t="s">
        <v>24</v>
      </c>
      <c r="E2359" t="s">
        <v>36</v>
      </c>
      <c r="F2359" t="s">
        <v>5075</v>
      </c>
      <c r="G2359" t="str">
        <f>"00112900"</f>
        <v>00112900</v>
      </c>
      <c r="H2359">
        <v>36</v>
      </c>
      <c r="I2359">
        <v>0</v>
      </c>
      <c r="L2359">
        <v>4</v>
      </c>
      <c r="M2359">
        <v>4</v>
      </c>
      <c r="N2359">
        <v>4</v>
      </c>
      <c r="O2359">
        <v>2</v>
      </c>
      <c r="P2359">
        <v>46</v>
      </c>
      <c r="Q2359">
        <v>0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3</v>
      </c>
      <c r="AA2359">
        <v>0</v>
      </c>
      <c r="AC2359">
        <v>49</v>
      </c>
    </row>
    <row r="2360" spans="1:29">
      <c r="A2360">
        <v>2353</v>
      </c>
      <c r="B2360">
        <v>2698</v>
      </c>
      <c r="C2360" t="s">
        <v>2537</v>
      </c>
      <c r="D2360" t="s">
        <v>216</v>
      </c>
      <c r="E2360" t="s">
        <v>66</v>
      </c>
      <c r="F2360" t="s">
        <v>5076</v>
      </c>
      <c r="G2360" t="str">
        <f>"00510187"</f>
        <v>00510187</v>
      </c>
      <c r="H2360">
        <v>0</v>
      </c>
      <c r="I2360">
        <v>0</v>
      </c>
      <c r="M2360">
        <v>0</v>
      </c>
      <c r="N2360">
        <v>4</v>
      </c>
      <c r="O2360">
        <v>2</v>
      </c>
      <c r="P2360">
        <v>6</v>
      </c>
      <c r="Q2360">
        <v>40</v>
      </c>
      <c r="R2360">
        <v>40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40</v>
      </c>
      <c r="Z2360">
        <v>3</v>
      </c>
      <c r="AA2360">
        <v>0</v>
      </c>
      <c r="AC2360">
        <v>49</v>
      </c>
    </row>
    <row r="2361" spans="1:29">
      <c r="A2361">
        <v>2354</v>
      </c>
      <c r="B2361">
        <v>3663</v>
      </c>
      <c r="C2361" t="s">
        <v>5077</v>
      </c>
      <c r="D2361" t="s">
        <v>98</v>
      </c>
      <c r="E2361" t="s">
        <v>5078</v>
      </c>
      <c r="F2361" t="s">
        <v>5079</v>
      </c>
      <c r="G2361" t="str">
        <f>"00530739"</f>
        <v>00530739</v>
      </c>
      <c r="H2361">
        <v>36</v>
      </c>
      <c r="I2361">
        <v>0</v>
      </c>
      <c r="M2361">
        <v>0</v>
      </c>
      <c r="N2361">
        <v>0</v>
      </c>
      <c r="O2361">
        <v>2</v>
      </c>
      <c r="P2361">
        <v>38</v>
      </c>
      <c r="Q2361">
        <v>11</v>
      </c>
      <c r="R2361">
        <v>11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11</v>
      </c>
      <c r="Z2361">
        <v>0</v>
      </c>
      <c r="AA2361">
        <v>0</v>
      </c>
      <c r="AC2361">
        <v>49</v>
      </c>
    </row>
    <row r="2362" spans="1:29">
      <c r="A2362">
        <v>2355</v>
      </c>
      <c r="B2362">
        <v>1859</v>
      </c>
      <c r="C2362" t="s">
        <v>5080</v>
      </c>
      <c r="D2362" t="s">
        <v>27</v>
      </c>
      <c r="E2362" t="s">
        <v>233</v>
      </c>
      <c r="F2362" t="s">
        <v>5081</v>
      </c>
      <c r="G2362" t="str">
        <f>"00863403"</f>
        <v>00863403</v>
      </c>
      <c r="H2362">
        <v>28.84</v>
      </c>
      <c r="I2362">
        <v>10</v>
      </c>
      <c r="M2362">
        <v>0</v>
      </c>
      <c r="N2362">
        <v>4</v>
      </c>
      <c r="O2362">
        <v>0</v>
      </c>
      <c r="P2362">
        <v>42.84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6</v>
      </c>
      <c r="AA2362">
        <v>0</v>
      </c>
      <c r="AC2362">
        <v>48.84</v>
      </c>
    </row>
    <row r="2363" spans="1:29">
      <c r="A2363">
        <v>2356</v>
      </c>
      <c r="B2363">
        <v>2654</v>
      </c>
      <c r="C2363" t="s">
        <v>5082</v>
      </c>
      <c r="D2363" t="s">
        <v>52</v>
      </c>
      <c r="E2363" t="s">
        <v>156</v>
      </c>
      <c r="F2363" t="s">
        <v>5083</v>
      </c>
      <c r="G2363" t="str">
        <f>"00863127"</f>
        <v>00863127</v>
      </c>
      <c r="H2363">
        <v>38.799999999999997</v>
      </c>
      <c r="I2363">
        <v>0</v>
      </c>
      <c r="M2363">
        <v>0</v>
      </c>
      <c r="N2363">
        <v>4</v>
      </c>
      <c r="O2363">
        <v>0</v>
      </c>
      <c r="P2363">
        <v>42.8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0</v>
      </c>
      <c r="Z2363">
        <v>6</v>
      </c>
      <c r="AA2363">
        <v>0</v>
      </c>
      <c r="AC2363">
        <v>48.8</v>
      </c>
    </row>
    <row r="2364" spans="1:29">
      <c r="A2364">
        <v>2357</v>
      </c>
      <c r="B2364">
        <v>2546</v>
      </c>
      <c r="C2364" t="s">
        <v>5084</v>
      </c>
      <c r="D2364" t="s">
        <v>205</v>
      </c>
      <c r="E2364" t="s">
        <v>134</v>
      </c>
      <c r="F2364" t="s">
        <v>5085</v>
      </c>
      <c r="G2364" t="str">
        <f>"201402011385"</f>
        <v>201402011385</v>
      </c>
      <c r="H2364">
        <v>28.8</v>
      </c>
      <c r="I2364">
        <v>0</v>
      </c>
      <c r="J2364">
        <v>8</v>
      </c>
      <c r="M2364">
        <v>8</v>
      </c>
      <c r="N2364">
        <v>4</v>
      </c>
      <c r="O2364">
        <v>2</v>
      </c>
      <c r="P2364">
        <v>42.8</v>
      </c>
      <c r="Q2364">
        <v>0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v>6</v>
      </c>
      <c r="AA2364">
        <v>0</v>
      </c>
      <c r="AC2364">
        <v>48.8</v>
      </c>
    </row>
    <row r="2365" spans="1:29">
      <c r="A2365">
        <v>2358</v>
      </c>
      <c r="B2365">
        <v>2720</v>
      </c>
      <c r="C2365" t="s">
        <v>1168</v>
      </c>
      <c r="D2365" t="s">
        <v>52</v>
      </c>
      <c r="E2365" t="s">
        <v>28</v>
      </c>
      <c r="F2365" t="s">
        <v>5086</v>
      </c>
      <c r="G2365" t="str">
        <f>"00492775"</f>
        <v>00492775</v>
      </c>
      <c r="H2365">
        <v>28.8</v>
      </c>
      <c r="I2365">
        <v>0</v>
      </c>
      <c r="J2365">
        <v>8</v>
      </c>
      <c r="M2365">
        <v>8</v>
      </c>
      <c r="N2365">
        <v>4</v>
      </c>
      <c r="O2365">
        <v>2</v>
      </c>
      <c r="P2365">
        <v>42.8</v>
      </c>
      <c r="Q2365">
        <v>0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0</v>
      </c>
      <c r="Z2365">
        <v>6</v>
      </c>
      <c r="AA2365">
        <v>0</v>
      </c>
      <c r="AC2365">
        <v>48.8</v>
      </c>
    </row>
    <row r="2366" spans="1:29">
      <c r="A2366">
        <v>2359</v>
      </c>
      <c r="B2366">
        <v>4067</v>
      </c>
      <c r="C2366" t="s">
        <v>5090</v>
      </c>
      <c r="D2366" t="s">
        <v>98</v>
      </c>
      <c r="E2366" t="s">
        <v>5091</v>
      </c>
      <c r="F2366" t="s">
        <v>5092</v>
      </c>
      <c r="G2366" t="str">
        <f>"00555684"</f>
        <v>00555684</v>
      </c>
      <c r="H2366">
        <v>38.799999999999997</v>
      </c>
      <c r="I2366">
        <v>0</v>
      </c>
      <c r="L2366">
        <v>4</v>
      </c>
      <c r="M2366">
        <v>4</v>
      </c>
      <c r="N2366">
        <v>4</v>
      </c>
      <c r="O2366">
        <v>2</v>
      </c>
      <c r="P2366">
        <v>48.8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  <c r="AC2366">
        <v>48.8</v>
      </c>
    </row>
    <row r="2367" spans="1:29">
      <c r="A2367">
        <v>2360</v>
      </c>
      <c r="B2367">
        <v>4215</v>
      </c>
      <c r="C2367" t="s">
        <v>402</v>
      </c>
      <c r="D2367" t="s">
        <v>2014</v>
      </c>
      <c r="E2367" t="s">
        <v>134</v>
      </c>
      <c r="F2367" t="s">
        <v>5089</v>
      </c>
      <c r="G2367" t="str">
        <f>"00859363"</f>
        <v>00859363</v>
      </c>
      <c r="H2367">
        <v>38.799999999999997</v>
      </c>
      <c r="I2367">
        <v>0</v>
      </c>
      <c r="L2367">
        <v>4</v>
      </c>
      <c r="M2367">
        <v>4</v>
      </c>
      <c r="N2367">
        <v>4</v>
      </c>
      <c r="O2367">
        <v>2</v>
      </c>
      <c r="P2367">
        <v>48.8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0</v>
      </c>
      <c r="AA2367">
        <v>0</v>
      </c>
      <c r="AC2367">
        <v>48.8</v>
      </c>
    </row>
    <row r="2368" spans="1:29">
      <c r="A2368">
        <v>2361</v>
      </c>
      <c r="B2368">
        <v>1771</v>
      </c>
      <c r="C2368" t="s">
        <v>5087</v>
      </c>
      <c r="D2368" t="s">
        <v>98</v>
      </c>
      <c r="E2368" t="s">
        <v>15</v>
      </c>
      <c r="F2368" t="s">
        <v>5088</v>
      </c>
      <c r="G2368" t="str">
        <f>"00526721"</f>
        <v>00526721</v>
      </c>
      <c r="H2368">
        <v>38.799999999999997</v>
      </c>
      <c r="I2368">
        <v>0</v>
      </c>
      <c r="L2368">
        <v>4</v>
      </c>
      <c r="M2368">
        <v>4</v>
      </c>
      <c r="N2368">
        <v>4</v>
      </c>
      <c r="O2368">
        <v>2</v>
      </c>
      <c r="P2368">
        <v>48.8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0</v>
      </c>
      <c r="AC2368">
        <v>48.8</v>
      </c>
    </row>
    <row r="2369" spans="1:29">
      <c r="A2369">
        <v>2362</v>
      </c>
      <c r="B2369">
        <v>772</v>
      </c>
      <c r="C2369" t="s">
        <v>5093</v>
      </c>
      <c r="D2369" t="s">
        <v>108</v>
      </c>
      <c r="E2369" t="s">
        <v>369</v>
      </c>
      <c r="F2369" t="s">
        <v>5094</v>
      </c>
      <c r="G2369" t="str">
        <f>"201604002940"</f>
        <v>201604002940</v>
      </c>
      <c r="H2369">
        <v>28.8</v>
      </c>
      <c r="I2369">
        <v>10</v>
      </c>
      <c r="L2369">
        <v>4</v>
      </c>
      <c r="M2369">
        <v>4</v>
      </c>
      <c r="N2369">
        <v>4</v>
      </c>
      <c r="O2369">
        <v>2</v>
      </c>
      <c r="P2369">
        <v>48.8</v>
      </c>
      <c r="Q2369">
        <v>0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  <c r="AA2369">
        <v>0</v>
      </c>
      <c r="AC2369">
        <v>48.8</v>
      </c>
    </row>
    <row r="2370" spans="1:29">
      <c r="A2370">
        <v>2363</v>
      </c>
      <c r="B2370">
        <v>2847</v>
      </c>
      <c r="C2370" t="s">
        <v>5095</v>
      </c>
      <c r="D2370" t="s">
        <v>784</v>
      </c>
      <c r="E2370" t="s">
        <v>889</v>
      </c>
      <c r="F2370" t="s">
        <v>5096</v>
      </c>
      <c r="G2370" t="str">
        <f>"00730023"</f>
        <v>00730023</v>
      </c>
      <c r="H2370">
        <v>36.799999999999997</v>
      </c>
      <c r="I2370">
        <v>0</v>
      </c>
      <c r="M2370">
        <v>0</v>
      </c>
      <c r="N2370">
        <v>0</v>
      </c>
      <c r="O2370">
        <v>2</v>
      </c>
      <c r="P2370">
        <v>38.799999999999997</v>
      </c>
      <c r="Q2370">
        <v>10</v>
      </c>
      <c r="R2370">
        <v>10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10</v>
      </c>
      <c r="Z2370">
        <v>0</v>
      </c>
      <c r="AA2370">
        <v>0</v>
      </c>
      <c r="AC2370">
        <v>48.8</v>
      </c>
    </row>
    <row r="2371" spans="1:29">
      <c r="A2371">
        <v>2364</v>
      </c>
      <c r="B2371">
        <v>2556</v>
      </c>
      <c r="C2371" t="s">
        <v>178</v>
      </c>
      <c r="D2371" t="s">
        <v>2000</v>
      </c>
      <c r="E2371" t="s">
        <v>18</v>
      </c>
      <c r="F2371" t="s">
        <v>5097</v>
      </c>
      <c r="G2371" t="str">
        <f>"00527021"</f>
        <v>00527021</v>
      </c>
      <c r="H2371">
        <v>28.8</v>
      </c>
      <c r="I2371">
        <v>0</v>
      </c>
      <c r="M2371">
        <v>0</v>
      </c>
      <c r="N2371">
        <v>4</v>
      </c>
      <c r="O2371">
        <v>2</v>
      </c>
      <c r="P2371">
        <v>34.799999999999997</v>
      </c>
      <c r="Q2371">
        <v>14</v>
      </c>
      <c r="R2371">
        <v>14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14</v>
      </c>
      <c r="Z2371">
        <v>0</v>
      </c>
      <c r="AA2371">
        <v>0</v>
      </c>
      <c r="AC2371">
        <v>48.8</v>
      </c>
    </row>
    <row r="2372" spans="1:29">
      <c r="A2372">
        <v>2365</v>
      </c>
      <c r="B2372">
        <v>4010</v>
      </c>
      <c r="C2372" t="s">
        <v>3031</v>
      </c>
      <c r="D2372" t="s">
        <v>4386</v>
      </c>
      <c r="E2372" t="s">
        <v>122</v>
      </c>
      <c r="F2372" t="s">
        <v>5098</v>
      </c>
      <c r="G2372" t="str">
        <f>"00280723"</f>
        <v>00280723</v>
      </c>
      <c r="H2372">
        <v>37.76</v>
      </c>
      <c r="I2372">
        <v>0</v>
      </c>
      <c r="L2372">
        <v>4</v>
      </c>
      <c r="M2372">
        <v>4</v>
      </c>
      <c r="N2372">
        <v>4</v>
      </c>
      <c r="O2372">
        <v>0</v>
      </c>
      <c r="P2372">
        <v>45.76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3</v>
      </c>
      <c r="AA2372">
        <v>0</v>
      </c>
      <c r="AC2372">
        <v>48.76</v>
      </c>
    </row>
    <row r="2373" spans="1:29">
      <c r="A2373">
        <v>2366</v>
      </c>
      <c r="B2373">
        <v>1628</v>
      </c>
      <c r="C2373" t="s">
        <v>5099</v>
      </c>
      <c r="D2373" t="s">
        <v>27</v>
      </c>
      <c r="E2373" t="s">
        <v>79</v>
      </c>
      <c r="F2373" t="s">
        <v>5100</v>
      </c>
      <c r="G2373" t="str">
        <f>"00391644"</f>
        <v>00391644</v>
      </c>
      <c r="H2373">
        <v>36.72</v>
      </c>
      <c r="I2373">
        <v>0</v>
      </c>
      <c r="M2373">
        <v>0</v>
      </c>
      <c r="N2373">
        <v>4</v>
      </c>
      <c r="O2373">
        <v>2</v>
      </c>
      <c r="P2373">
        <v>42.72</v>
      </c>
      <c r="Q2373">
        <v>0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6</v>
      </c>
      <c r="AA2373">
        <v>0</v>
      </c>
      <c r="AC2373">
        <v>48.72</v>
      </c>
    </row>
    <row r="2374" spans="1:29">
      <c r="A2374">
        <v>2367</v>
      </c>
      <c r="B2374">
        <v>3947</v>
      </c>
      <c r="C2374" t="s">
        <v>3383</v>
      </c>
      <c r="D2374" t="s">
        <v>554</v>
      </c>
      <c r="E2374" t="s">
        <v>79</v>
      </c>
      <c r="F2374" t="s">
        <v>5101</v>
      </c>
      <c r="G2374" t="str">
        <f>"00863855"</f>
        <v>00863855</v>
      </c>
      <c r="H2374">
        <v>38.68</v>
      </c>
      <c r="I2374">
        <v>0</v>
      </c>
      <c r="M2374">
        <v>0</v>
      </c>
      <c r="N2374">
        <v>4</v>
      </c>
      <c r="O2374">
        <v>0</v>
      </c>
      <c r="P2374">
        <v>42.68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6</v>
      </c>
      <c r="AA2374">
        <v>0</v>
      </c>
      <c r="AC2374">
        <v>48.68</v>
      </c>
    </row>
    <row r="2375" spans="1:29">
      <c r="A2375">
        <v>2368</v>
      </c>
      <c r="B2375">
        <v>2966</v>
      </c>
      <c r="C2375" t="s">
        <v>5102</v>
      </c>
      <c r="D2375" t="s">
        <v>210</v>
      </c>
      <c r="E2375" t="s">
        <v>18</v>
      </c>
      <c r="F2375" t="s">
        <v>5103</v>
      </c>
      <c r="G2375" t="str">
        <f>"00697261"</f>
        <v>00697261</v>
      </c>
      <c r="H2375">
        <v>35.6</v>
      </c>
      <c r="I2375">
        <v>0</v>
      </c>
      <c r="M2375">
        <v>0</v>
      </c>
      <c r="N2375">
        <v>4</v>
      </c>
      <c r="O2375">
        <v>0</v>
      </c>
      <c r="P2375">
        <v>39.6</v>
      </c>
      <c r="Q2375">
        <v>0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9</v>
      </c>
      <c r="AA2375">
        <v>0</v>
      </c>
      <c r="AC2375">
        <v>48.6</v>
      </c>
    </row>
    <row r="2376" spans="1:29">
      <c r="A2376">
        <v>2369</v>
      </c>
      <c r="B2376">
        <v>3727</v>
      </c>
      <c r="C2376" t="s">
        <v>5104</v>
      </c>
      <c r="D2376" t="s">
        <v>98</v>
      </c>
      <c r="E2376" t="s">
        <v>18</v>
      </c>
      <c r="F2376" t="s">
        <v>5105</v>
      </c>
      <c r="G2376" t="str">
        <f>"200802003628"</f>
        <v>200802003628</v>
      </c>
      <c r="H2376">
        <v>21.6</v>
      </c>
      <c r="I2376">
        <v>0</v>
      </c>
      <c r="J2376">
        <v>8</v>
      </c>
      <c r="L2376">
        <v>4</v>
      </c>
      <c r="M2376">
        <v>12</v>
      </c>
      <c r="N2376">
        <v>4</v>
      </c>
      <c r="O2376">
        <v>2</v>
      </c>
      <c r="P2376">
        <v>39.6</v>
      </c>
      <c r="Q2376">
        <v>0</v>
      </c>
      <c r="R2376">
        <v>0</v>
      </c>
      <c r="S2376">
        <v>0</v>
      </c>
      <c r="T2376">
        <v>0</v>
      </c>
      <c r="U2376">
        <v>4</v>
      </c>
      <c r="V2376">
        <v>6</v>
      </c>
      <c r="W2376">
        <v>0</v>
      </c>
      <c r="X2376">
        <v>0</v>
      </c>
      <c r="Y2376">
        <v>6</v>
      </c>
      <c r="Z2376">
        <v>3</v>
      </c>
      <c r="AA2376">
        <v>0</v>
      </c>
      <c r="AC2376">
        <v>48.6</v>
      </c>
    </row>
    <row r="2377" spans="1:29">
      <c r="A2377">
        <v>2370</v>
      </c>
      <c r="B2377">
        <v>1396</v>
      </c>
      <c r="C2377" t="s">
        <v>26</v>
      </c>
      <c r="D2377" t="s">
        <v>52</v>
      </c>
      <c r="E2377" t="s">
        <v>3525</v>
      </c>
      <c r="F2377" t="s">
        <v>5106</v>
      </c>
      <c r="G2377" t="str">
        <f>"00529676"</f>
        <v>00529676</v>
      </c>
      <c r="H2377">
        <v>21.6</v>
      </c>
      <c r="I2377">
        <v>0</v>
      </c>
      <c r="L2377">
        <v>4</v>
      </c>
      <c r="M2377">
        <v>4</v>
      </c>
      <c r="N2377">
        <v>4</v>
      </c>
      <c r="O2377">
        <v>2</v>
      </c>
      <c r="P2377">
        <v>31.6</v>
      </c>
      <c r="Q2377">
        <v>14</v>
      </c>
      <c r="R2377">
        <v>14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14</v>
      </c>
      <c r="Z2377">
        <v>3</v>
      </c>
      <c r="AA2377">
        <v>0</v>
      </c>
      <c r="AC2377">
        <v>48.6</v>
      </c>
    </row>
    <row r="2378" spans="1:29">
      <c r="A2378">
        <v>2371</v>
      </c>
      <c r="B2378">
        <v>3233</v>
      </c>
      <c r="C2378" t="s">
        <v>5107</v>
      </c>
      <c r="D2378" t="s">
        <v>5108</v>
      </c>
      <c r="E2378" t="s">
        <v>156</v>
      </c>
      <c r="F2378" t="s">
        <v>5109</v>
      </c>
      <c r="G2378" t="str">
        <f>"00530060"</f>
        <v>00530060</v>
      </c>
      <c r="H2378">
        <v>21.6</v>
      </c>
      <c r="I2378">
        <v>10</v>
      </c>
      <c r="L2378">
        <v>4</v>
      </c>
      <c r="M2378">
        <v>4</v>
      </c>
      <c r="N2378">
        <v>4</v>
      </c>
      <c r="O2378">
        <v>0</v>
      </c>
      <c r="P2378">
        <v>39.6</v>
      </c>
      <c r="Q2378">
        <v>9</v>
      </c>
      <c r="R2378">
        <v>9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9</v>
      </c>
      <c r="Z2378">
        <v>0</v>
      </c>
      <c r="AA2378">
        <v>0</v>
      </c>
      <c r="AC2378">
        <v>48.6</v>
      </c>
    </row>
    <row r="2379" spans="1:29">
      <c r="A2379">
        <v>2372</v>
      </c>
      <c r="B2379">
        <v>1439</v>
      </c>
      <c r="C2379" t="s">
        <v>5110</v>
      </c>
      <c r="D2379" t="s">
        <v>52</v>
      </c>
      <c r="E2379" t="s">
        <v>18</v>
      </c>
      <c r="F2379" t="s">
        <v>5111</v>
      </c>
      <c r="G2379" t="str">
        <f>"00391433"</f>
        <v>00391433</v>
      </c>
      <c r="H2379">
        <v>21.6</v>
      </c>
      <c r="I2379">
        <v>10</v>
      </c>
      <c r="M2379">
        <v>0</v>
      </c>
      <c r="N2379">
        <v>0</v>
      </c>
      <c r="O2379">
        <v>0</v>
      </c>
      <c r="P2379">
        <v>31.6</v>
      </c>
      <c r="Q2379">
        <v>17</v>
      </c>
      <c r="R2379">
        <v>17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17</v>
      </c>
      <c r="Z2379">
        <v>0</v>
      </c>
      <c r="AA2379">
        <v>0</v>
      </c>
      <c r="AC2379">
        <v>48.6</v>
      </c>
    </row>
    <row r="2380" spans="1:29">
      <c r="A2380">
        <v>2373</v>
      </c>
      <c r="B2380">
        <v>1162</v>
      </c>
      <c r="C2380" t="s">
        <v>5112</v>
      </c>
      <c r="D2380" t="s">
        <v>46</v>
      </c>
      <c r="E2380" t="s">
        <v>18</v>
      </c>
      <c r="F2380" t="s">
        <v>5113</v>
      </c>
      <c r="G2380" t="str">
        <f>"00083617"</f>
        <v>00083617</v>
      </c>
      <c r="H2380">
        <v>26.56</v>
      </c>
      <c r="I2380">
        <v>0</v>
      </c>
      <c r="M2380">
        <v>0</v>
      </c>
      <c r="N2380">
        <v>4</v>
      </c>
      <c r="O2380">
        <v>2</v>
      </c>
      <c r="P2380">
        <v>32.56</v>
      </c>
      <c r="Q2380">
        <v>10</v>
      </c>
      <c r="R2380">
        <v>10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10</v>
      </c>
      <c r="Z2380">
        <v>6</v>
      </c>
      <c r="AA2380">
        <v>0</v>
      </c>
      <c r="AC2380">
        <v>48.56</v>
      </c>
    </row>
    <row r="2381" spans="1:29">
      <c r="A2381">
        <v>2374</v>
      </c>
      <c r="B2381">
        <v>2508</v>
      </c>
      <c r="C2381" t="s">
        <v>5114</v>
      </c>
      <c r="D2381" t="s">
        <v>27</v>
      </c>
      <c r="E2381" t="s">
        <v>18</v>
      </c>
      <c r="F2381" t="s">
        <v>5115</v>
      </c>
      <c r="G2381" t="str">
        <f>"00093861"</f>
        <v>00093861</v>
      </c>
      <c r="H2381">
        <v>25.44</v>
      </c>
      <c r="I2381">
        <v>0</v>
      </c>
      <c r="J2381">
        <v>8</v>
      </c>
      <c r="M2381">
        <v>8</v>
      </c>
      <c r="N2381">
        <v>4</v>
      </c>
      <c r="O2381">
        <v>2</v>
      </c>
      <c r="P2381">
        <v>39.44</v>
      </c>
      <c r="Q2381">
        <v>0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0</v>
      </c>
      <c r="Z2381">
        <v>9</v>
      </c>
      <c r="AA2381">
        <v>0</v>
      </c>
      <c r="AC2381">
        <v>48.44</v>
      </c>
    </row>
    <row r="2382" spans="1:29">
      <c r="A2382">
        <v>2375</v>
      </c>
      <c r="B2382">
        <v>2137</v>
      </c>
      <c r="C2382" t="s">
        <v>5116</v>
      </c>
      <c r="D2382" t="s">
        <v>39</v>
      </c>
      <c r="E2382" t="s">
        <v>237</v>
      </c>
      <c r="F2382" t="s">
        <v>5117</v>
      </c>
      <c r="G2382" t="str">
        <f>"00530457"</f>
        <v>00530457</v>
      </c>
      <c r="H2382">
        <v>35.44</v>
      </c>
      <c r="I2382">
        <v>0</v>
      </c>
      <c r="L2382">
        <v>4</v>
      </c>
      <c r="M2382">
        <v>4</v>
      </c>
      <c r="N2382">
        <v>4</v>
      </c>
      <c r="O2382">
        <v>2</v>
      </c>
      <c r="P2382">
        <v>45.44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0</v>
      </c>
      <c r="Z2382">
        <v>3</v>
      </c>
      <c r="AA2382">
        <v>0</v>
      </c>
      <c r="AC2382">
        <v>48.44</v>
      </c>
    </row>
    <row r="2383" spans="1:29">
      <c r="A2383">
        <v>2376</v>
      </c>
      <c r="B2383">
        <v>634</v>
      </c>
      <c r="C2383" t="s">
        <v>4027</v>
      </c>
      <c r="D2383" t="s">
        <v>210</v>
      </c>
      <c r="E2383" t="s">
        <v>15</v>
      </c>
      <c r="F2383" t="s">
        <v>5118</v>
      </c>
      <c r="G2383" t="str">
        <f>"00190792"</f>
        <v>00190792</v>
      </c>
      <c r="H2383">
        <v>30.4</v>
      </c>
      <c r="I2383">
        <v>0</v>
      </c>
      <c r="M2383">
        <v>0</v>
      </c>
      <c r="N2383">
        <v>4</v>
      </c>
      <c r="O2383">
        <v>2</v>
      </c>
      <c r="P2383">
        <v>36.4</v>
      </c>
      <c r="Q2383">
        <v>6</v>
      </c>
      <c r="R2383">
        <v>6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6</v>
      </c>
      <c r="Z2383">
        <v>6</v>
      </c>
      <c r="AA2383">
        <v>0</v>
      </c>
      <c r="AC2383">
        <v>48.4</v>
      </c>
    </row>
    <row r="2384" spans="1:29">
      <c r="A2384">
        <v>2377</v>
      </c>
      <c r="B2384">
        <v>4680</v>
      </c>
      <c r="C2384" t="s">
        <v>5119</v>
      </c>
      <c r="D2384" t="s">
        <v>35</v>
      </c>
      <c r="E2384" t="s">
        <v>369</v>
      </c>
      <c r="F2384" t="s">
        <v>5120</v>
      </c>
      <c r="G2384" t="str">
        <f>"00529769"</f>
        <v>00529769</v>
      </c>
      <c r="H2384">
        <v>26.4</v>
      </c>
      <c r="I2384">
        <v>0</v>
      </c>
      <c r="M2384">
        <v>0</v>
      </c>
      <c r="N2384">
        <v>0</v>
      </c>
      <c r="O2384">
        <v>2</v>
      </c>
      <c r="P2384">
        <v>28.4</v>
      </c>
      <c r="Q2384">
        <v>14</v>
      </c>
      <c r="R2384">
        <v>14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14</v>
      </c>
      <c r="Z2384">
        <v>6</v>
      </c>
      <c r="AA2384">
        <v>0</v>
      </c>
      <c r="AC2384">
        <v>48.4</v>
      </c>
    </row>
    <row r="2385" spans="1:29">
      <c r="A2385">
        <v>2378</v>
      </c>
      <c r="B2385">
        <v>4087</v>
      </c>
      <c r="C2385" t="s">
        <v>1032</v>
      </c>
      <c r="D2385" t="s">
        <v>130</v>
      </c>
      <c r="E2385" t="s">
        <v>115</v>
      </c>
      <c r="F2385" t="s">
        <v>5121</v>
      </c>
      <c r="G2385" t="str">
        <f>"00137360"</f>
        <v>00137360</v>
      </c>
      <c r="H2385">
        <v>38.4</v>
      </c>
      <c r="I2385">
        <v>0</v>
      </c>
      <c r="K2385">
        <v>6</v>
      </c>
      <c r="M2385">
        <v>6</v>
      </c>
      <c r="N2385">
        <v>4</v>
      </c>
      <c r="O2385">
        <v>0</v>
      </c>
      <c r="P2385">
        <v>48.4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  <c r="AA2385">
        <v>0</v>
      </c>
      <c r="AC2385">
        <v>48.4</v>
      </c>
    </row>
    <row r="2386" spans="1:29">
      <c r="A2386">
        <v>2379</v>
      </c>
      <c r="B2386">
        <v>756</v>
      </c>
      <c r="C2386" t="s">
        <v>696</v>
      </c>
      <c r="D2386" t="s">
        <v>113</v>
      </c>
      <c r="E2386" t="s">
        <v>1263</v>
      </c>
      <c r="F2386" t="s">
        <v>5122</v>
      </c>
      <c r="G2386" t="str">
        <f>"00530661"</f>
        <v>00530661</v>
      </c>
      <c r="H2386">
        <v>14.4</v>
      </c>
      <c r="I2386">
        <v>0</v>
      </c>
      <c r="J2386">
        <v>8</v>
      </c>
      <c r="M2386">
        <v>8</v>
      </c>
      <c r="N2386">
        <v>4</v>
      </c>
      <c r="O2386">
        <v>2</v>
      </c>
      <c r="P2386">
        <v>28.4</v>
      </c>
      <c r="Q2386">
        <v>20</v>
      </c>
      <c r="R2386">
        <v>20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20</v>
      </c>
      <c r="Z2386">
        <v>0</v>
      </c>
      <c r="AA2386">
        <v>0</v>
      </c>
      <c r="AC2386">
        <v>48.4</v>
      </c>
    </row>
    <row r="2387" spans="1:29">
      <c r="A2387">
        <v>2380</v>
      </c>
      <c r="B2387">
        <v>581</v>
      </c>
      <c r="C2387" t="s">
        <v>5123</v>
      </c>
      <c r="D2387" t="s">
        <v>35</v>
      </c>
      <c r="E2387" t="s">
        <v>134</v>
      </c>
      <c r="F2387" t="s">
        <v>5124</v>
      </c>
      <c r="G2387" t="str">
        <f>"201511010288"</f>
        <v>201511010288</v>
      </c>
      <c r="H2387">
        <v>14.4</v>
      </c>
      <c r="I2387">
        <v>0</v>
      </c>
      <c r="M2387">
        <v>0</v>
      </c>
      <c r="N2387">
        <v>4</v>
      </c>
      <c r="O2387">
        <v>2</v>
      </c>
      <c r="P2387">
        <v>20.399999999999999</v>
      </c>
      <c r="Q2387">
        <v>28</v>
      </c>
      <c r="R2387">
        <v>28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28</v>
      </c>
      <c r="Z2387">
        <v>0</v>
      </c>
      <c r="AA2387">
        <v>0</v>
      </c>
      <c r="AC2387">
        <v>48.4</v>
      </c>
    </row>
    <row r="2388" spans="1:29">
      <c r="A2388">
        <v>2381</v>
      </c>
      <c r="B2388">
        <v>3752</v>
      </c>
      <c r="C2388" t="s">
        <v>3864</v>
      </c>
      <c r="D2388" t="s">
        <v>95</v>
      </c>
      <c r="E2388" t="s">
        <v>187</v>
      </c>
      <c r="F2388" t="s">
        <v>5125</v>
      </c>
      <c r="G2388" t="str">
        <f>"00509663"</f>
        <v>00509663</v>
      </c>
      <c r="H2388">
        <v>14.4</v>
      </c>
      <c r="I2388">
        <v>0</v>
      </c>
      <c r="M2388">
        <v>0</v>
      </c>
      <c r="N2388">
        <v>0</v>
      </c>
      <c r="O2388">
        <v>0</v>
      </c>
      <c r="P2388">
        <v>14.4</v>
      </c>
      <c r="Q2388">
        <v>34</v>
      </c>
      <c r="R2388">
        <v>34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34</v>
      </c>
      <c r="Z2388">
        <v>0</v>
      </c>
      <c r="AA2388">
        <v>0</v>
      </c>
      <c r="AB2388" t="s">
        <v>128</v>
      </c>
      <c r="AC2388">
        <v>48.4</v>
      </c>
    </row>
    <row r="2389" spans="1:29">
      <c r="A2389">
        <v>2382</v>
      </c>
      <c r="B2389">
        <v>979</v>
      </c>
      <c r="C2389" t="s">
        <v>5126</v>
      </c>
      <c r="D2389" t="s">
        <v>86</v>
      </c>
      <c r="E2389" t="s">
        <v>66</v>
      </c>
      <c r="F2389" t="s">
        <v>5127</v>
      </c>
      <c r="G2389" t="str">
        <f>"00529812"</f>
        <v>00529812</v>
      </c>
      <c r="H2389">
        <v>14.4</v>
      </c>
      <c r="I2389">
        <v>0</v>
      </c>
      <c r="M2389">
        <v>0</v>
      </c>
      <c r="N2389">
        <v>4</v>
      </c>
      <c r="O2389">
        <v>0</v>
      </c>
      <c r="P2389">
        <v>18.399999999999999</v>
      </c>
      <c r="Q2389">
        <v>0</v>
      </c>
      <c r="R2389">
        <v>0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v>3</v>
      </c>
      <c r="AA2389">
        <v>26.8</v>
      </c>
      <c r="AC2389">
        <v>48.2</v>
      </c>
    </row>
    <row r="2390" spans="1:29">
      <c r="A2390">
        <v>2383</v>
      </c>
      <c r="B2390">
        <v>2336</v>
      </c>
      <c r="C2390" t="s">
        <v>5128</v>
      </c>
      <c r="D2390" t="s">
        <v>27</v>
      </c>
      <c r="E2390" t="s">
        <v>889</v>
      </c>
      <c r="F2390" t="s">
        <v>5129</v>
      </c>
      <c r="G2390" t="str">
        <f>"00370257"</f>
        <v>00370257</v>
      </c>
      <c r="H2390">
        <v>39.200000000000003</v>
      </c>
      <c r="I2390">
        <v>0</v>
      </c>
      <c r="M2390">
        <v>0</v>
      </c>
      <c r="N2390">
        <v>0</v>
      </c>
      <c r="O2390">
        <v>0</v>
      </c>
      <c r="P2390">
        <v>39.200000000000003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9</v>
      </c>
      <c r="AA2390">
        <v>0</v>
      </c>
      <c r="AC2390">
        <v>48.2</v>
      </c>
    </row>
    <row r="2391" spans="1:29">
      <c r="A2391">
        <v>2384</v>
      </c>
      <c r="B2391">
        <v>2731</v>
      </c>
      <c r="C2391" t="s">
        <v>1567</v>
      </c>
      <c r="D2391" t="s">
        <v>5130</v>
      </c>
      <c r="E2391" t="s">
        <v>15</v>
      </c>
      <c r="F2391" t="s">
        <v>5131</v>
      </c>
      <c r="G2391" t="str">
        <f>"00860913"</f>
        <v>00860913</v>
      </c>
      <c r="H2391">
        <v>43.2</v>
      </c>
      <c r="I2391">
        <v>0</v>
      </c>
      <c r="M2391">
        <v>0</v>
      </c>
      <c r="N2391">
        <v>0</v>
      </c>
      <c r="O2391">
        <v>2</v>
      </c>
      <c r="P2391">
        <v>45.2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3</v>
      </c>
      <c r="AA2391">
        <v>0</v>
      </c>
      <c r="AC2391">
        <v>48.2</v>
      </c>
    </row>
    <row r="2392" spans="1:29">
      <c r="A2392">
        <v>2385</v>
      </c>
      <c r="B2392">
        <v>4204</v>
      </c>
      <c r="C2392" t="s">
        <v>5132</v>
      </c>
      <c r="D2392" t="s">
        <v>164</v>
      </c>
      <c r="E2392" t="s">
        <v>18</v>
      </c>
      <c r="F2392" t="s">
        <v>5133</v>
      </c>
      <c r="G2392" t="str">
        <f>"00566353"</f>
        <v>00566353</v>
      </c>
      <c r="H2392">
        <v>39.200000000000003</v>
      </c>
      <c r="I2392">
        <v>0</v>
      </c>
      <c r="M2392">
        <v>0</v>
      </c>
      <c r="N2392">
        <v>4</v>
      </c>
      <c r="O2392">
        <v>2</v>
      </c>
      <c r="P2392">
        <v>45.2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v>3</v>
      </c>
      <c r="AA2392">
        <v>0</v>
      </c>
      <c r="AC2392">
        <v>48.2</v>
      </c>
    </row>
    <row r="2393" spans="1:29">
      <c r="A2393">
        <v>2386</v>
      </c>
      <c r="B2393">
        <v>4459</v>
      </c>
      <c r="C2393" t="s">
        <v>318</v>
      </c>
      <c r="D2393" t="s">
        <v>1051</v>
      </c>
      <c r="E2393" t="s">
        <v>36</v>
      </c>
      <c r="F2393" t="s">
        <v>5134</v>
      </c>
      <c r="G2393" t="str">
        <f>"00530842"</f>
        <v>00530842</v>
      </c>
      <c r="H2393">
        <v>14.16</v>
      </c>
      <c r="I2393">
        <v>0</v>
      </c>
      <c r="J2393">
        <v>8</v>
      </c>
      <c r="M2393">
        <v>8</v>
      </c>
      <c r="N2393">
        <v>4</v>
      </c>
      <c r="O2393">
        <v>2</v>
      </c>
      <c r="P2393">
        <v>28.16</v>
      </c>
      <c r="Q2393">
        <v>14</v>
      </c>
      <c r="R2393">
        <v>14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14</v>
      </c>
      <c r="Z2393">
        <v>6</v>
      </c>
      <c r="AA2393">
        <v>0</v>
      </c>
      <c r="AC2393">
        <v>48.16</v>
      </c>
    </row>
    <row r="2394" spans="1:29">
      <c r="A2394">
        <v>2387</v>
      </c>
      <c r="B2394">
        <v>1524</v>
      </c>
      <c r="C2394" t="s">
        <v>5135</v>
      </c>
      <c r="D2394" t="s">
        <v>248</v>
      </c>
      <c r="E2394" t="s">
        <v>36</v>
      </c>
      <c r="F2394" t="s">
        <v>5136</v>
      </c>
      <c r="G2394" t="str">
        <f>"00441661"</f>
        <v>00441661</v>
      </c>
      <c r="H2394">
        <v>36</v>
      </c>
      <c r="I2394">
        <v>0</v>
      </c>
      <c r="M2394">
        <v>0</v>
      </c>
      <c r="N2394">
        <v>0</v>
      </c>
      <c r="O2394">
        <v>0</v>
      </c>
      <c r="P2394">
        <v>36</v>
      </c>
      <c r="Q2394">
        <v>0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12</v>
      </c>
      <c r="AA2394">
        <v>0</v>
      </c>
      <c r="AC2394">
        <v>48</v>
      </c>
    </row>
    <row r="2395" spans="1:29">
      <c r="A2395">
        <v>2388</v>
      </c>
      <c r="B2395">
        <v>2566</v>
      </c>
      <c r="C2395" t="s">
        <v>5139</v>
      </c>
      <c r="D2395" t="s">
        <v>1187</v>
      </c>
      <c r="E2395" t="s">
        <v>187</v>
      </c>
      <c r="F2395" t="s">
        <v>5140</v>
      </c>
      <c r="G2395" t="str">
        <f>"201511022924"</f>
        <v>201511022924</v>
      </c>
      <c r="H2395">
        <v>36</v>
      </c>
      <c r="I2395">
        <v>0</v>
      </c>
      <c r="M2395">
        <v>0</v>
      </c>
      <c r="N2395">
        <v>4</v>
      </c>
      <c r="O2395">
        <v>2</v>
      </c>
      <c r="P2395">
        <v>42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6</v>
      </c>
      <c r="AA2395">
        <v>0</v>
      </c>
      <c r="AC2395">
        <v>48</v>
      </c>
    </row>
    <row r="2396" spans="1:29">
      <c r="A2396">
        <v>2389</v>
      </c>
      <c r="B2396">
        <v>3009</v>
      </c>
      <c r="C2396" t="s">
        <v>5137</v>
      </c>
      <c r="D2396" t="s">
        <v>216</v>
      </c>
      <c r="E2396" t="s">
        <v>15</v>
      </c>
      <c r="F2396" t="s">
        <v>5138</v>
      </c>
      <c r="G2396" t="str">
        <f>"00559475"</f>
        <v>00559475</v>
      </c>
      <c r="H2396">
        <v>36</v>
      </c>
      <c r="I2396">
        <v>0</v>
      </c>
      <c r="M2396">
        <v>0</v>
      </c>
      <c r="N2396">
        <v>4</v>
      </c>
      <c r="O2396">
        <v>2</v>
      </c>
      <c r="P2396">
        <v>42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v>6</v>
      </c>
      <c r="AA2396">
        <v>0</v>
      </c>
      <c r="AC2396">
        <v>48</v>
      </c>
    </row>
    <row r="2397" spans="1:29">
      <c r="A2397">
        <v>2390</v>
      </c>
      <c r="B2397">
        <v>114</v>
      </c>
      <c r="C2397" t="s">
        <v>5141</v>
      </c>
      <c r="D2397" t="s">
        <v>31</v>
      </c>
      <c r="E2397" t="s">
        <v>60</v>
      </c>
      <c r="F2397" t="s">
        <v>5142</v>
      </c>
      <c r="G2397" t="str">
        <f>"00112573"</f>
        <v>00112573</v>
      </c>
      <c r="H2397">
        <v>40</v>
      </c>
      <c r="I2397">
        <v>0</v>
      </c>
      <c r="L2397">
        <v>4</v>
      </c>
      <c r="M2397">
        <v>4</v>
      </c>
      <c r="N2397">
        <v>4</v>
      </c>
      <c r="O2397">
        <v>0</v>
      </c>
      <c r="P2397">
        <v>48</v>
      </c>
      <c r="Q2397">
        <v>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0</v>
      </c>
      <c r="AC2397">
        <v>48</v>
      </c>
    </row>
    <row r="2398" spans="1:29">
      <c r="A2398">
        <v>2391</v>
      </c>
      <c r="B2398">
        <v>2877</v>
      </c>
      <c r="C2398" t="s">
        <v>5143</v>
      </c>
      <c r="D2398" t="s">
        <v>167</v>
      </c>
      <c r="E2398" t="s">
        <v>410</v>
      </c>
      <c r="F2398" t="s">
        <v>5144</v>
      </c>
      <c r="G2398" t="str">
        <f>"00863030"</f>
        <v>00863030</v>
      </c>
      <c r="H2398">
        <v>40</v>
      </c>
      <c r="I2398">
        <v>0</v>
      </c>
      <c r="L2398">
        <v>4</v>
      </c>
      <c r="M2398">
        <v>4</v>
      </c>
      <c r="N2398">
        <v>4</v>
      </c>
      <c r="O2398">
        <v>0</v>
      </c>
      <c r="P2398">
        <v>48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  <c r="AA2398">
        <v>0</v>
      </c>
      <c r="AC2398">
        <v>48</v>
      </c>
    </row>
    <row r="2399" spans="1:29">
      <c r="A2399">
        <v>2392</v>
      </c>
      <c r="B2399">
        <v>3266</v>
      </c>
      <c r="C2399" t="s">
        <v>5145</v>
      </c>
      <c r="D2399" t="s">
        <v>569</v>
      </c>
      <c r="E2399" t="s">
        <v>36</v>
      </c>
      <c r="F2399" t="s">
        <v>5146</v>
      </c>
      <c r="G2399" t="str">
        <f>"00861033"</f>
        <v>00861033</v>
      </c>
      <c r="H2399">
        <v>40</v>
      </c>
      <c r="I2399">
        <v>0</v>
      </c>
      <c r="L2399">
        <v>4</v>
      </c>
      <c r="M2399">
        <v>4</v>
      </c>
      <c r="N2399">
        <v>4</v>
      </c>
      <c r="O2399">
        <v>0</v>
      </c>
      <c r="P2399">
        <v>48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0</v>
      </c>
      <c r="AC2399">
        <v>48</v>
      </c>
    </row>
    <row r="2400" spans="1:29">
      <c r="A2400">
        <v>2393</v>
      </c>
      <c r="B2400">
        <v>1643</v>
      </c>
      <c r="C2400" t="s">
        <v>3985</v>
      </c>
      <c r="D2400" t="s">
        <v>20</v>
      </c>
      <c r="E2400" t="s">
        <v>134</v>
      </c>
      <c r="F2400" t="s">
        <v>5147</v>
      </c>
      <c r="G2400" t="str">
        <f>"00856407"</f>
        <v>00856407</v>
      </c>
      <c r="H2400">
        <v>40</v>
      </c>
      <c r="I2400">
        <v>0</v>
      </c>
      <c r="L2400">
        <v>4</v>
      </c>
      <c r="M2400">
        <v>4</v>
      </c>
      <c r="N2400">
        <v>4</v>
      </c>
      <c r="O2400">
        <v>0</v>
      </c>
      <c r="P2400">
        <v>48</v>
      </c>
      <c r="Q2400">
        <v>0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0</v>
      </c>
      <c r="AC2400">
        <v>48</v>
      </c>
    </row>
    <row r="2401" spans="1:29">
      <c r="A2401">
        <v>2394</v>
      </c>
      <c r="B2401">
        <v>3765</v>
      </c>
      <c r="C2401" t="s">
        <v>5148</v>
      </c>
      <c r="D2401" t="s">
        <v>27</v>
      </c>
      <c r="E2401" t="s">
        <v>66</v>
      </c>
      <c r="F2401" t="s">
        <v>5149</v>
      </c>
      <c r="G2401" t="str">
        <f>"00795826"</f>
        <v>00795826</v>
      </c>
      <c r="H2401">
        <v>36</v>
      </c>
      <c r="I2401">
        <v>0</v>
      </c>
      <c r="J2401">
        <v>8</v>
      </c>
      <c r="M2401">
        <v>8</v>
      </c>
      <c r="N2401">
        <v>4</v>
      </c>
      <c r="O2401">
        <v>0</v>
      </c>
      <c r="P2401">
        <v>48</v>
      </c>
      <c r="Q2401">
        <v>0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0</v>
      </c>
      <c r="AC2401">
        <v>48</v>
      </c>
    </row>
    <row r="2402" spans="1:29">
      <c r="A2402">
        <v>2395</v>
      </c>
      <c r="B2402">
        <v>2501</v>
      </c>
      <c r="C2402" t="s">
        <v>1325</v>
      </c>
      <c r="D2402" t="s">
        <v>98</v>
      </c>
      <c r="E2402" t="s">
        <v>156</v>
      </c>
      <c r="F2402" t="s">
        <v>5150</v>
      </c>
      <c r="G2402" t="str">
        <f>"00208906"</f>
        <v>00208906</v>
      </c>
      <c r="H2402">
        <v>36</v>
      </c>
      <c r="I2402">
        <v>0</v>
      </c>
      <c r="J2402">
        <v>8</v>
      </c>
      <c r="M2402">
        <v>8</v>
      </c>
      <c r="N2402">
        <v>4</v>
      </c>
      <c r="O2402">
        <v>0</v>
      </c>
      <c r="P2402">
        <v>48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0</v>
      </c>
      <c r="Z2402">
        <v>0</v>
      </c>
      <c r="AA2402">
        <v>0</v>
      </c>
      <c r="AC2402">
        <v>48</v>
      </c>
    </row>
    <row r="2403" spans="1:29">
      <c r="A2403">
        <v>2396</v>
      </c>
      <c r="B2403">
        <v>2953</v>
      </c>
      <c r="C2403" t="s">
        <v>897</v>
      </c>
      <c r="D2403" t="s">
        <v>569</v>
      </c>
      <c r="E2403" t="s">
        <v>15</v>
      </c>
      <c r="F2403" t="s">
        <v>5151</v>
      </c>
      <c r="G2403" t="str">
        <f>"00553697"</f>
        <v>00553697</v>
      </c>
      <c r="H2403">
        <v>34</v>
      </c>
      <c r="I2403">
        <v>0</v>
      </c>
      <c r="J2403">
        <v>8</v>
      </c>
      <c r="M2403">
        <v>8</v>
      </c>
      <c r="N2403">
        <v>4</v>
      </c>
      <c r="O2403">
        <v>2</v>
      </c>
      <c r="P2403">
        <v>48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0</v>
      </c>
      <c r="AA2403">
        <v>0</v>
      </c>
      <c r="AB2403" t="s">
        <v>128</v>
      </c>
      <c r="AC2403">
        <v>48</v>
      </c>
    </row>
    <row r="2404" spans="1:29">
      <c r="A2404">
        <v>2397</v>
      </c>
      <c r="B2404">
        <v>2337</v>
      </c>
      <c r="C2404" t="s">
        <v>855</v>
      </c>
      <c r="D2404" t="s">
        <v>52</v>
      </c>
      <c r="E2404" t="s">
        <v>18</v>
      </c>
      <c r="F2404" t="s">
        <v>5152</v>
      </c>
      <c r="G2404" t="str">
        <f>"201511041141"</f>
        <v>201511041141</v>
      </c>
      <c r="H2404">
        <v>32</v>
      </c>
      <c r="I2404">
        <v>0</v>
      </c>
      <c r="L2404">
        <v>4</v>
      </c>
      <c r="M2404">
        <v>4</v>
      </c>
      <c r="N2404">
        <v>4</v>
      </c>
      <c r="O2404">
        <v>0</v>
      </c>
      <c r="P2404">
        <v>40</v>
      </c>
      <c r="Q2404">
        <v>8</v>
      </c>
      <c r="R2404">
        <v>8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8</v>
      </c>
      <c r="Z2404">
        <v>0</v>
      </c>
      <c r="AA2404">
        <v>0</v>
      </c>
      <c r="AC2404">
        <v>48</v>
      </c>
    </row>
    <row r="2405" spans="1:29">
      <c r="A2405">
        <v>2398</v>
      </c>
      <c r="B2405">
        <v>713</v>
      </c>
      <c r="C2405" t="s">
        <v>5153</v>
      </c>
      <c r="D2405" t="s">
        <v>39</v>
      </c>
      <c r="E2405" t="s">
        <v>18</v>
      </c>
      <c r="F2405" t="s">
        <v>5154</v>
      </c>
      <c r="G2405" t="str">
        <f>"00531548"</f>
        <v>00531548</v>
      </c>
      <c r="H2405">
        <v>36.880000000000003</v>
      </c>
      <c r="I2405">
        <v>0</v>
      </c>
      <c r="M2405">
        <v>0</v>
      </c>
      <c r="N2405">
        <v>0</v>
      </c>
      <c r="O2405">
        <v>2</v>
      </c>
      <c r="P2405">
        <v>38.880000000000003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9</v>
      </c>
      <c r="AA2405">
        <v>0</v>
      </c>
      <c r="AC2405">
        <v>47.88</v>
      </c>
    </row>
    <row r="2406" spans="1:29">
      <c r="A2406">
        <v>2399</v>
      </c>
      <c r="B2406">
        <v>1286</v>
      </c>
      <c r="C2406" t="s">
        <v>5155</v>
      </c>
      <c r="D2406" t="s">
        <v>52</v>
      </c>
      <c r="E2406" t="s">
        <v>134</v>
      </c>
      <c r="F2406" t="s">
        <v>5156</v>
      </c>
      <c r="G2406" t="str">
        <f>"00770137"</f>
        <v>00770137</v>
      </c>
      <c r="H2406">
        <v>36.799999999999997</v>
      </c>
      <c r="I2406">
        <v>0</v>
      </c>
      <c r="L2406">
        <v>4</v>
      </c>
      <c r="M2406">
        <v>4</v>
      </c>
      <c r="N2406">
        <v>4</v>
      </c>
      <c r="O2406">
        <v>0</v>
      </c>
      <c r="P2406">
        <v>44.8</v>
      </c>
      <c r="Q2406">
        <v>0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0</v>
      </c>
      <c r="Z2406">
        <v>3</v>
      </c>
      <c r="AA2406">
        <v>0</v>
      </c>
      <c r="AC2406">
        <v>47.8</v>
      </c>
    </row>
    <row r="2407" spans="1:29">
      <c r="A2407">
        <v>2400</v>
      </c>
      <c r="B2407">
        <v>3048</v>
      </c>
      <c r="C2407" t="s">
        <v>5157</v>
      </c>
      <c r="D2407" t="s">
        <v>147</v>
      </c>
      <c r="E2407" t="s">
        <v>322</v>
      </c>
      <c r="F2407" t="s">
        <v>5158</v>
      </c>
      <c r="G2407" t="str">
        <f>"00479885"</f>
        <v>00479885</v>
      </c>
      <c r="H2407">
        <v>28.8</v>
      </c>
      <c r="I2407">
        <v>10</v>
      </c>
      <c r="M2407">
        <v>0</v>
      </c>
      <c r="N2407">
        <v>4</v>
      </c>
      <c r="O2407">
        <v>2</v>
      </c>
      <c r="P2407">
        <v>44.8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3</v>
      </c>
      <c r="AA2407">
        <v>0</v>
      </c>
      <c r="AC2407">
        <v>47.8</v>
      </c>
    </row>
    <row r="2408" spans="1:29">
      <c r="A2408">
        <v>2401</v>
      </c>
      <c r="B2408">
        <v>1761</v>
      </c>
      <c r="C2408" t="s">
        <v>5159</v>
      </c>
      <c r="D2408" t="s">
        <v>108</v>
      </c>
      <c r="E2408" t="s">
        <v>28</v>
      </c>
      <c r="F2408" t="s">
        <v>5160</v>
      </c>
      <c r="G2408" t="str">
        <f>"201511021048"</f>
        <v>201511021048</v>
      </c>
      <c r="H2408">
        <v>13.8</v>
      </c>
      <c r="I2408">
        <v>0</v>
      </c>
      <c r="M2408">
        <v>0</v>
      </c>
      <c r="N2408">
        <v>4</v>
      </c>
      <c r="O2408">
        <v>2</v>
      </c>
      <c r="P2408">
        <v>19.8</v>
      </c>
      <c r="Q2408">
        <v>25</v>
      </c>
      <c r="R2408">
        <v>25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25</v>
      </c>
      <c r="Z2408">
        <v>3</v>
      </c>
      <c r="AA2408">
        <v>0</v>
      </c>
      <c r="AC2408">
        <v>47.8</v>
      </c>
    </row>
    <row r="2409" spans="1:29">
      <c r="A2409">
        <v>2402</v>
      </c>
      <c r="B2409">
        <v>2496</v>
      </c>
      <c r="C2409" t="s">
        <v>5161</v>
      </c>
      <c r="D2409" t="s">
        <v>141</v>
      </c>
      <c r="E2409" t="s">
        <v>79</v>
      </c>
      <c r="F2409" t="s">
        <v>5162</v>
      </c>
      <c r="G2409" t="str">
        <f>"00155018"</f>
        <v>00155018</v>
      </c>
      <c r="H2409">
        <v>28.8</v>
      </c>
      <c r="I2409">
        <v>0</v>
      </c>
      <c r="J2409">
        <v>8</v>
      </c>
      <c r="M2409">
        <v>8</v>
      </c>
      <c r="N2409">
        <v>4</v>
      </c>
      <c r="O2409">
        <v>2</v>
      </c>
      <c r="P2409">
        <v>42.8</v>
      </c>
      <c r="Q2409">
        <v>5</v>
      </c>
      <c r="R2409">
        <v>5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5</v>
      </c>
      <c r="Z2409">
        <v>0</v>
      </c>
      <c r="AA2409">
        <v>0</v>
      </c>
      <c r="AC2409">
        <v>47.8</v>
      </c>
    </row>
    <row r="2410" spans="1:29">
      <c r="A2410">
        <v>2403</v>
      </c>
      <c r="B2410">
        <v>2825</v>
      </c>
      <c r="C2410" t="s">
        <v>5163</v>
      </c>
      <c r="D2410" t="s">
        <v>5164</v>
      </c>
      <c r="E2410" t="s">
        <v>581</v>
      </c>
      <c r="F2410" t="s">
        <v>5165</v>
      </c>
      <c r="G2410" t="str">
        <f>"00528048"</f>
        <v>00528048</v>
      </c>
      <c r="H2410">
        <v>2.74</v>
      </c>
      <c r="I2410">
        <v>0</v>
      </c>
      <c r="M2410">
        <v>0</v>
      </c>
      <c r="N2410">
        <v>0</v>
      </c>
      <c r="O2410">
        <v>2</v>
      </c>
      <c r="P2410">
        <v>4.74</v>
      </c>
      <c r="Q2410">
        <v>37</v>
      </c>
      <c r="R2410">
        <v>37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37</v>
      </c>
      <c r="Z2410">
        <v>6</v>
      </c>
      <c r="AA2410">
        <v>0</v>
      </c>
      <c r="AC2410">
        <v>47.74</v>
      </c>
    </row>
    <row r="2411" spans="1:29">
      <c r="A2411">
        <v>2404</v>
      </c>
      <c r="B2411">
        <v>511</v>
      </c>
      <c r="C2411" t="s">
        <v>5166</v>
      </c>
      <c r="D2411" t="s">
        <v>115</v>
      </c>
      <c r="E2411" t="s">
        <v>122</v>
      </c>
      <c r="F2411" t="s">
        <v>5167</v>
      </c>
      <c r="G2411" t="str">
        <f>"00091876"</f>
        <v>00091876</v>
      </c>
      <c r="H2411">
        <v>30.68</v>
      </c>
      <c r="I2411">
        <v>0</v>
      </c>
      <c r="L2411">
        <v>4</v>
      </c>
      <c r="M2411">
        <v>4</v>
      </c>
      <c r="N2411">
        <v>0</v>
      </c>
      <c r="O2411">
        <v>0</v>
      </c>
      <c r="P2411">
        <v>34.68</v>
      </c>
      <c r="Q2411">
        <v>13</v>
      </c>
      <c r="R2411">
        <v>13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13</v>
      </c>
      <c r="Z2411">
        <v>0</v>
      </c>
      <c r="AA2411">
        <v>0</v>
      </c>
      <c r="AC2411">
        <v>47.68</v>
      </c>
    </row>
    <row r="2412" spans="1:29">
      <c r="A2412">
        <v>2405</v>
      </c>
      <c r="B2412">
        <v>3607</v>
      </c>
      <c r="C2412" t="s">
        <v>260</v>
      </c>
      <c r="D2412" t="s">
        <v>5168</v>
      </c>
      <c r="E2412" t="s">
        <v>18</v>
      </c>
      <c r="F2412" t="s">
        <v>5169</v>
      </c>
      <c r="G2412" t="str">
        <f>"00524573"</f>
        <v>00524573</v>
      </c>
      <c r="H2412">
        <v>21.6</v>
      </c>
      <c r="I2412">
        <v>0</v>
      </c>
      <c r="J2412">
        <v>8</v>
      </c>
      <c r="M2412">
        <v>8</v>
      </c>
      <c r="N2412">
        <v>4</v>
      </c>
      <c r="O2412">
        <v>2</v>
      </c>
      <c r="P2412">
        <v>35.6</v>
      </c>
      <c r="Q2412">
        <v>3</v>
      </c>
      <c r="R2412">
        <v>3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3</v>
      </c>
      <c r="Z2412">
        <v>9</v>
      </c>
      <c r="AA2412">
        <v>0</v>
      </c>
      <c r="AC2412">
        <v>47.6</v>
      </c>
    </row>
    <row r="2413" spans="1:29">
      <c r="A2413">
        <v>2406</v>
      </c>
      <c r="B2413">
        <v>1474</v>
      </c>
      <c r="C2413" t="s">
        <v>2658</v>
      </c>
      <c r="D2413" t="s">
        <v>5170</v>
      </c>
      <c r="E2413" t="s">
        <v>1813</v>
      </c>
      <c r="F2413" t="s">
        <v>5171</v>
      </c>
      <c r="G2413" t="str">
        <f>"00793249"</f>
        <v>00793249</v>
      </c>
      <c r="H2413">
        <v>37.6</v>
      </c>
      <c r="I2413">
        <v>0</v>
      </c>
      <c r="M2413">
        <v>0</v>
      </c>
      <c r="N2413">
        <v>4</v>
      </c>
      <c r="O2413">
        <v>0</v>
      </c>
      <c r="P2413">
        <v>41.6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v>6</v>
      </c>
      <c r="AA2413">
        <v>0</v>
      </c>
      <c r="AC2413">
        <v>47.6</v>
      </c>
    </row>
    <row r="2414" spans="1:29">
      <c r="A2414">
        <v>2407</v>
      </c>
      <c r="B2414">
        <v>1444</v>
      </c>
      <c r="C2414" t="s">
        <v>1131</v>
      </c>
      <c r="D2414" t="s">
        <v>39</v>
      </c>
      <c r="E2414" t="s">
        <v>89</v>
      </c>
      <c r="F2414" t="s">
        <v>5172</v>
      </c>
      <c r="G2414" t="str">
        <f>"00530514"</f>
        <v>00530514</v>
      </c>
      <c r="H2414">
        <v>21.6</v>
      </c>
      <c r="I2414">
        <v>0</v>
      </c>
      <c r="M2414">
        <v>0</v>
      </c>
      <c r="N2414">
        <v>4</v>
      </c>
      <c r="O2414">
        <v>0</v>
      </c>
      <c r="P2414">
        <v>25.6</v>
      </c>
      <c r="Q2414">
        <v>16</v>
      </c>
      <c r="R2414">
        <v>16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16</v>
      </c>
      <c r="Z2414">
        <v>6</v>
      </c>
      <c r="AA2414">
        <v>0</v>
      </c>
      <c r="AC2414">
        <v>47.6</v>
      </c>
    </row>
    <row r="2415" spans="1:29">
      <c r="A2415">
        <v>2408</v>
      </c>
      <c r="B2415">
        <v>2687</v>
      </c>
      <c r="C2415" t="s">
        <v>5173</v>
      </c>
      <c r="D2415" t="s">
        <v>261</v>
      </c>
      <c r="E2415" t="s">
        <v>15</v>
      </c>
      <c r="F2415" t="s">
        <v>5174</v>
      </c>
      <c r="G2415" t="str">
        <f>"00227010"</f>
        <v>00227010</v>
      </c>
      <c r="H2415">
        <v>39.6</v>
      </c>
      <c r="I2415">
        <v>0</v>
      </c>
      <c r="L2415">
        <v>4</v>
      </c>
      <c r="M2415">
        <v>4</v>
      </c>
      <c r="N2415">
        <v>4</v>
      </c>
      <c r="O2415">
        <v>0</v>
      </c>
      <c r="P2415">
        <v>47.6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  <c r="AA2415">
        <v>0</v>
      </c>
      <c r="AC2415">
        <v>47.6</v>
      </c>
    </row>
    <row r="2416" spans="1:29">
      <c r="A2416">
        <v>2409</v>
      </c>
      <c r="B2416">
        <v>3424</v>
      </c>
      <c r="C2416" t="s">
        <v>5175</v>
      </c>
      <c r="D2416" t="s">
        <v>5176</v>
      </c>
      <c r="E2416" t="s">
        <v>817</v>
      </c>
      <c r="F2416" t="s">
        <v>5177</v>
      </c>
      <c r="G2416" t="str">
        <f>"00859025"</f>
        <v>00859025</v>
      </c>
      <c r="H2416">
        <v>39.6</v>
      </c>
      <c r="I2416">
        <v>0</v>
      </c>
      <c r="L2416">
        <v>4</v>
      </c>
      <c r="M2416">
        <v>4</v>
      </c>
      <c r="N2416">
        <v>4</v>
      </c>
      <c r="O2416">
        <v>0</v>
      </c>
      <c r="P2416">
        <v>47.6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0</v>
      </c>
      <c r="AC2416">
        <v>47.6</v>
      </c>
    </row>
    <row r="2417" spans="1:29">
      <c r="A2417">
        <v>2410</v>
      </c>
      <c r="B2417">
        <v>2173</v>
      </c>
      <c r="C2417" t="s">
        <v>5181</v>
      </c>
      <c r="D2417" t="s">
        <v>175</v>
      </c>
      <c r="E2417" t="s">
        <v>50</v>
      </c>
      <c r="F2417" t="s">
        <v>5182</v>
      </c>
      <c r="G2417" t="str">
        <f>"00861268"</f>
        <v>00861268</v>
      </c>
      <c r="H2417">
        <v>39.6</v>
      </c>
      <c r="I2417">
        <v>0</v>
      </c>
      <c r="L2417">
        <v>4</v>
      </c>
      <c r="M2417">
        <v>4</v>
      </c>
      <c r="N2417">
        <v>4</v>
      </c>
      <c r="O2417">
        <v>0</v>
      </c>
      <c r="P2417">
        <v>47.6</v>
      </c>
      <c r="Q2417">
        <v>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  <c r="AC2417">
        <v>47.6</v>
      </c>
    </row>
    <row r="2418" spans="1:29">
      <c r="A2418">
        <v>2411</v>
      </c>
      <c r="B2418">
        <v>3152</v>
      </c>
      <c r="C2418" t="s">
        <v>5178</v>
      </c>
      <c r="D2418" t="s">
        <v>5179</v>
      </c>
      <c r="E2418" t="s">
        <v>15</v>
      </c>
      <c r="F2418" t="s">
        <v>5180</v>
      </c>
      <c r="G2418" t="str">
        <f>"00855912"</f>
        <v>00855912</v>
      </c>
      <c r="H2418">
        <v>39.6</v>
      </c>
      <c r="I2418">
        <v>0</v>
      </c>
      <c r="L2418">
        <v>4</v>
      </c>
      <c r="M2418">
        <v>4</v>
      </c>
      <c r="N2418">
        <v>4</v>
      </c>
      <c r="O2418">
        <v>0</v>
      </c>
      <c r="P2418">
        <v>47.6</v>
      </c>
      <c r="Q2418">
        <v>0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0</v>
      </c>
      <c r="Z2418">
        <v>0</v>
      </c>
      <c r="AA2418">
        <v>0</v>
      </c>
      <c r="AC2418">
        <v>47.6</v>
      </c>
    </row>
    <row r="2419" spans="1:29">
      <c r="A2419">
        <v>2412</v>
      </c>
      <c r="B2419">
        <v>1503</v>
      </c>
      <c r="C2419" t="s">
        <v>3778</v>
      </c>
      <c r="D2419" t="s">
        <v>329</v>
      </c>
      <c r="E2419" t="s">
        <v>227</v>
      </c>
      <c r="F2419" t="s">
        <v>5183</v>
      </c>
      <c r="G2419" t="str">
        <f>"00657862"</f>
        <v>00657862</v>
      </c>
      <c r="H2419">
        <v>37.6</v>
      </c>
      <c r="I2419">
        <v>10</v>
      </c>
      <c r="M2419">
        <v>0</v>
      </c>
      <c r="N2419">
        <v>0</v>
      </c>
      <c r="O2419">
        <v>0</v>
      </c>
      <c r="P2419">
        <v>47.6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  <c r="AA2419">
        <v>0</v>
      </c>
      <c r="AC2419">
        <v>47.6</v>
      </c>
    </row>
    <row r="2420" spans="1:29">
      <c r="A2420">
        <v>2413</v>
      </c>
      <c r="B2420">
        <v>4254</v>
      </c>
      <c r="C2420" t="s">
        <v>5186</v>
      </c>
      <c r="D2420" t="s">
        <v>5187</v>
      </c>
      <c r="E2420" t="s">
        <v>36</v>
      </c>
      <c r="F2420" t="s">
        <v>5188</v>
      </c>
      <c r="G2420" t="str">
        <f>"00441758"</f>
        <v>00441758</v>
      </c>
      <c r="H2420">
        <v>21.6</v>
      </c>
      <c r="I2420">
        <v>0</v>
      </c>
      <c r="K2420">
        <v>6</v>
      </c>
      <c r="M2420">
        <v>6</v>
      </c>
      <c r="N2420">
        <v>4</v>
      </c>
      <c r="O2420">
        <v>0</v>
      </c>
      <c r="P2420">
        <v>31.6</v>
      </c>
      <c r="Q2420">
        <v>16</v>
      </c>
      <c r="R2420">
        <v>16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16</v>
      </c>
      <c r="Z2420">
        <v>0</v>
      </c>
      <c r="AA2420">
        <v>0</v>
      </c>
      <c r="AC2420">
        <v>47.6</v>
      </c>
    </row>
    <row r="2421" spans="1:29">
      <c r="A2421">
        <v>2414</v>
      </c>
      <c r="B2421">
        <v>2943</v>
      </c>
      <c r="C2421" t="s">
        <v>5184</v>
      </c>
      <c r="D2421" t="s">
        <v>27</v>
      </c>
      <c r="E2421" t="s">
        <v>369</v>
      </c>
      <c r="F2421" t="s">
        <v>5185</v>
      </c>
      <c r="G2421" t="str">
        <f>"00103457"</f>
        <v>00103457</v>
      </c>
      <c r="H2421">
        <v>21.6</v>
      </c>
      <c r="I2421">
        <v>0</v>
      </c>
      <c r="L2421">
        <v>4</v>
      </c>
      <c r="M2421">
        <v>4</v>
      </c>
      <c r="N2421">
        <v>4</v>
      </c>
      <c r="O2421">
        <v>2</v>
      </c>
      <c r="P2421">
        <v>31.6</v>
      </c>
      <c r="Q2421">
        <v>16</v>
      </c>
      <c r="R2421">
        <v>16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16</v>
      </c>
      <c r="Z2421">
        <v>0</v>
      </c>
      <c r="AA2421">
        <v>0</v>
      </c>
      <c r="AC2421">
        <v>47.6</v>
      </c>
    </row>
    <row r="2422" spans="1:29">
      <c r="A2422">
        <v>2415</v>
      </c>
      <c r="B2422">
        <v>2936</v>
      </c>
      <c r="C2422" t="s">
        <v>5189</v>
      </c>
      <c r="D2422" t="s">
        <v>35</v>
      </c>
      <c r="E2422" t="s">
        <v>134</v>
      </c>
      <c r="F2422" t="s">
        <v>5190</v>
      </c>
      <c r="G2422" t="str">
        <f>"00842671"</f>
        <v>00842671</v>
      </c>
      <c r="H2422">
        <v>33.520000000000003</v>
      </c>
      <c r="I2422">
        <v>0</v>
      </c>
      <c r="L2422">
        <v>4</v>
      </c>
      <c r="M2422">
        <v>4</v>
      </c>
      <c r="N2422">
        <v>4</v>
      </c>
      <c r="O2422">
        <v>0</v>
      </c>
      <c r="P2422">
        <v>41.52</v>
      </c>
      <c r="Q2422">
        <v>0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6</v>
      </c>
      <c r="AA2422">
        <v>0</v>
      </c>
      <c r="AC2422">
        <v>47.52</v>
      </c>
    </row>
    <row r="2423" spans="1:29">
      <c r="A2423">
        <v>2416</v>
      </c>
      <c r="B2423">
        <v>257</v>
      </c>
      <c r="C2423" t="s">
        <v>5193</v>
      </c>
      <c r="D2423" t="s">
        <v>27</v>
      </c>
      <c r="E2423" t="s">
        <v>134</v>
      </c>
      <c r="F2423" t="s">
        <v>5194</v>
      </c>
      <c r="G2423" t="str">
        <f>"00857127"</f>
        <v>00857127</v>
      </c>
      <c r="H2423">
        <v>37.44</v>
      </c>
      <c r="I2423">
        <v>0</v>
      </c>
      <c r="M2423">
        <v>0</v>
      </c>
      <c r="N2423">
        <v>4</v>
      </c>
      <c r="O2423">
        <v>0</v>
      </c>
      <c r="P2423">
        <v>41.44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6</v>
      </c>
      <c r="AA2423">
        <v>0</v>
      </c>
      <c r="AC2423">
        <v>47.44</v>
      </c>
    </row>
    <row r="2424" spans="1:29">
      <c r="A2424">
        <v>2417</v>
      </c>
      <c r="B2424">
        <v>3299</v>
      </c>
      <c r="C2424" t="s">
        <v>5191</v>
      </c>
      <c r="D2424" t="s">
        <v>20</v>
      </c>
      <c r="E2424" t="s">
        <v>18</v>
      </c>
      <c r="F2424" t="s">
        <v>5192</v>
      </c>
      <c r="G2424" t="str">
        <f>"00861438"</f>
        <v>00861438</v>
      </c>
      <c r="H2424">
        <v>37.44</v>
      </c>
      <c r="I2424">
        <v>0</v>
      </c>
      <c r="M2424">
        <v>0</v>
      </c>
      <c r="N2424">
        <v>4</v>
      </c>
      <c r="O2424">
        <v>0</v>
      </c>
      <c r="P2424">
        <v>41.44</v>
      </c>
      <c r="Q2424">
        <v>0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6</v>
      </c>
      <c r="AA2424">
        <v>0</v>
      </c>
      <c r="AC2424">
        <v>47.44</v>
      </c>
    </row>
    <row r="2425" spans="1:29">
      <c r="A2425">
        <v>2418</v>
      </c>
      <c r="B2425">
        <v>843</v>
      </c>
      <c r="C2425" t="s">
        <v>5195</v>
      </c>
      <c r="D2425" t="s">
        <v>27</v>
      </c>
      <c r="E2425" t="s">
        <v>36</v>
      </c>
      <c r="F2425" t="s">
        <v>5196</v>
      </c>
      <c r="G2425" t="str">
        <f>"00372052"</f>
        <v>00372052</v>
      </c>
      <c r="H2425">
        <v>22.4</v>
      </c>
      <c r="I2425">
        <v>10</v>
      </c>
      <c r="M2425">
        <v>0</v>
      </c>
      <c r="N2425">
        <v>4</v>
      </c>
      <c r="O2425">
        <v>2</v>
      </c>
      <c r="P2425">
        <v>38.4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9</v>
      </c>
      <c r="AA2425">
        <v>0</v>
      </c>
      <c r="AC2425">
        <v>47.4</v>
      </c>
    </row>
    <row r="2426" spans="1:29">
      <c r="A2426">
        <v>2419</v>
      </c>
      <c r="B2426">
        <v>94</v>
      </c>
      <c r="C2426" t="s">
        <v>5197</v>
      </c>
      <c r="D2426" t="s">
        <v>159</v>
      </c>
      <c r="E2426" t="s">
        <v>36</v>
      </c>
      <c r="F2426" t="s">
        <v>5198</v>
      </c>
      <c r="G2426" t="str">
        <f>"00333235"</f>
        <v>00333235</v>
      </c>
      <c r="H2426">
        <v>38.4</v>
      </c>
      <c r="I2426">
        <v>0</v>
      </c>
      <c r="M2426">
        <v>0</v>
      </c>
      <c r="N2426">
        <v>4</v>
      </c>
      <c r="O2426">
        <v>2</v>
      </c>
      <c r="P2426">
        <v>44.4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3</v>
      </c>
      <c r="AA2426">
        <v>0</v>
      </c>
      <c r="AC2426">
        <v>47.4</v>
      </c>
    </row>
    <row r="2427" spans="1:29">
      <c r="A2427">
        <v>2420</v>
      </c>
      <c r="B2427">
        <v>2658</v>
      </c>
      <c r="C2427" t="s">
        <v>5199</v>
      </c>
      <c r="D2427" t="s">
        <v>179</v>
      </c>
      <c r="E2427" t="s">
        <v>5200</v>
      </c>
      <c r="F2427" t="s">
        <v>5201</v>
      </c>
      <c r="G2427" t="str">
        <f>"00516068"</f>
        <v>00516068</v>
      </c>
      <c r="H2427">
        <v>14.4</v>
      </c>
      <c r="I2427">
        <v>0</v>
      </c>
      <c r="J2427">
        <v>8</v>
      </c>
      <c r="M2427">
        <v>8</v>
      </c>
      <c r="N2427">
        <v>4</v>
      </c>
      <c r="O2427">
        <v>2</v>
      </c>
      <c r="P2427">
        <v>28.4</v>
      </c>
      <c r="Q2427">
        <v>16</v>
      </c>
      <c r="R2427">
        <v>16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16</v>
      </c>
      <c r="Z2427">
        <v>3</v>
      </c>
      <c r="AA2427">
        <v>0</v>
      </c>
      <c r="AC2427">
        <v>47.4</v>
      </c>
    </row>
    <row r="2428" spans="1:29">
      <c r="A2428">
        <v>2421</v>
      </c>
      <c r="B2428">
        <v>1229</v>
      </c>
      <c r="C2428" t="s">
        <v>3752</v>
      </c>
      <c r="D2428" t="s">
        <v>185</v>
      </c>
      <c r="E2428" t="s">
        <v>66</v>
      </c>
      <c r="F2428" t="s">
        <v>5202</v>
      </c>
      <c r="G2428" t="str">
        <f>"00530502"</f>
        <v>00530502</v>
      </c>
      <c r="H2428">
        <v>14.4</v>
      </c>
      <c r="I2428">
        <v>10</v>
      </c>
      <c r="L2428">
        <v>4</v>
      </c>
      <c r="M2428">
        <v>4</v>
      </c>
      <c r="N2428">
        <v>4</v>
      </c>
      <c r="O2428">
        <v>2</v>
      </c>
      <c r="P2428">
        <v>34.4</v>
      </c>
      <c r="Q2428">
        <v>13</v>
      </c>
      <c r="R2428">
        <v>13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13</v>
      </c>
      <c r="Z2428">
        <v>0</v>
      </c>
      <c r="AA2428">
        <v>0</v>
      </c>
      <c r="AC2428">
        <v>47.4</v>
      </c>
    </row>
    <row r="2429" spans="1:29">
      <c r="A2429">
        <v>2422</v>
      </c>
      <c r="B2429">
        <v>1166</v>
      </c>
      <c r="C2429" t="s">
        <v>5203</v>
      </c>
      <c r="D2429" t="s">
        <v>52</v>
      </c>
      <c r="E2429" t="s">
        <v>66</v>
      </c>
      <c r="F2429" t="s">
        <v>5204</v>
      </c>
      <c r="G2429" t="str">
        <f>"00356881"</f>
        <v>00356881</v>
      </c>
      <c r="H2429">
        <v>14.4</v>
      </c>
      <c r="I2429">
        <v>0</v>
      </c>
      <c r="M2429">
        <v>0</v>
      </c>
      <c r="N2429">
        <v>0</v>
      </c>
      <c r="O2429">
        <v>0</v>
      </c>
      <c r="P2429">
        <v>14.4</v>
      </c>
      <c r="Q2429">
        <v>27</v>
      </c>
      <c r="R2429">
        <v>27</v>
      </c>
      <c r="S2429">
        <v>0</v>
      </c>
      <c r="T2429">
        <v>0</v>
      </c>
      <c r="U2429">
        <v>4</v>
      </c>
      <c r="V2429">
        <v>6</v>
      </c>
      <c r="W2429">
        <v>0</v>
      </c>
      <c r="X2429">
        <v>0</v>
      </c>
      <c r="Y2429">
        <v>33</v>
      </c>
      <c r="Z2429">
        <v>0</v>
      </c>
      <c r="AA2429">
        <v>0</v>
      </c>
      <c r="AC2429">
        <v>47.4</v>
      </c>
    </row>
    <row r="2430" spans="1:29">
      <c r="A2430">
        <v>2423</v>
      </c>
      <c r="B2430">
        <v>2830</v>
      </c>
      <c r="C2430" t="s">
        <v>178</v>
      </c>
      <c r="D2430" t="s">
        <v>24</v>
      </c>
      <c r="E2430" t="s">
        <v>134</v>
      </c>
      <c r="F2430" t="s">
        <v>5205</v>
      </c>
      <c r="G2430" t="str">
        <f>"200810000610"</f>
        <v>200810000610</v>
      </c>
      <c r="H2430">
        <v>36.36</v>
      </c>
      <c r="I2430">
        <v>0</v>
      </c>
      <c r="L2430">
        <v>4</v>
      </c>
      <c r="M2430">
        <v>4</v>
      </c>
      <c r="N2430">
        <v>4</v>
      </c>
      <c r="O2430">
        <v>0</v>
      </c>
      <c r="P2430">
        <v>44.36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0</v>
      </c>
      <c r="Z2430">
        <v>3</v>
      </c>
      <c r="AA2430">
        <v>0</v>
      </c>
      <c r="AC2430">
        <v>47.36</v>
      </c>
    </row>
    <row r="2431" spans="1:29">
      <c r="A2431">
        <v>2424</v>
      </c>
      <c r="B2431">
        <v>4281</v>
      </c>
      <c r="C2431" t="s">
        <v>996</v>
      </c>
      <c r="D2431" t="s">
        <v>5208</v>
      </c>
      <c r="E2431" t="s">
        <v>15</v>
      </c>
      <c r="F2431" t="s">
        <v>5209</v>
      </c>
      <c r="G2431" t="str">
        <f>"00528728"</f>
        <v>00528728</v>
      </c>
      <c r="H2431">
        <v>37.32</v>
      </c>
      <c r="I2431">
        <v>0</v>
      </c>
      <c r="L2431">
        <v>4</v>
      </c>
      <c r="M2431">
        <v>4</v>
      </c>
      <c r="N2431">
        <v>0</v>
      </c>
      <c r="O2431">
        <v>0</v>
      </c>
      <c r="P2431">
        <v>41.32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6</v>
      </c>
      <c r="AA2431">
        <v>0</v>
      </c>
      <c r="AC2431">
        <v>47.32</v>
      </c>
    </row>
    <row r="2432" spans="1:29">
      <c r="A2432">
        <v>2425</v>
      </c>
      <c r="B2432">
        <v>4127</v>
      </c>
      <c r="C2432" t="s">
        <v>5206</v>
      </c>
      <c r="D2432" t="s">
        <v>27</v>
      </c>
      <c r="E2432" t="s">
        <v>18</v>
      </c>
      <c r="F2432" t="s">
        <v>5207</v>
      </c>
      <c r="G2432" t="str">
        <f>"00529630"</f>
        <v>00529630</v>
      </c>
      <c r="H2432">
        <v>37.32</v>
      </c>
      <c r="I2432">
        <v>0</v>
      </c>
      <c r="M2432">
        <v>0</v>
      </c>
      <c r="N2432">
        <v>4</v>
      </c>
      <c r="O2432">
        <v>0</v>
      </c>
      <c r="P2432">
        <v>41.32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v>6</v>
      </c>
      <c r="AA2432">
        <v>0</v>
      </c>
      <c r="AC2432">
        <v>47.32</v>
      </c>
    </row>
    <row r="2433" spans="1:29">
      <c r="A2433">
        <v>2426</v>
      </c>
      <c r="B2433">
        <v>3290</v>
      </c>
      <c r="C2433" t="s">
        <v>5210</v>
      </c>
      <c r="D2433" t="s">
        <v>52</v>
      </c>
      <c r="E2433" t="s">
        <v>89</v>
      </c>
      <c r="F2433" t="s">
        <v>5211</v>
      </c>
      <c r="G2433" t="str">
        <f>"00479560"</f>
        <v>00479560</v>
      </c>
      <c r="H2433">
        <v>33.32</v>
      </c>
      <c r="I2433">
        <v>10</v>
      </c>
      <c r="M2433">
        <v>0</v>
      </c>
      <c r="N2433">
        <v>4</v>
      </c>
      <c r="O2433">
        <v>0</v>
      </c>
      <c r="P2433">
        <v>47.32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  <c r="AA2433">
        <v>0</v>
      </c>
      <c r="AC2433">
        <v>47.32</v>
      </c>
    </row>
    <row r="2434" spans="1:29">
      <c r="A2434">
        <v>2427</v>
      </c>
      <c r="B2434">
        <v>3346</v>
      </c>
      <c r="C2434" t="s">
        <v>5212</v>
      </c>
      <c r="D2434" t="s">
        <v>185</v>
      </c>
      <c r="E2434" t="s">
        <v>340</v>
      </c>
      <c r="F2434" t="s">
        <v>5213</v>
      </c>
      <c r="G2434" t="str">
        <f>"00532659"</f>
        <v>00532659</v>
      </c>
      <c r="H2434">
        <v>27.28</v>
      </c>
      <c r="I2434">
        <v>0</v>
      </c>
      <c r="M2434">
        <v>0</v>
      </c>
      <c r="N2434">
        <v>4</v>
      </c>
      <c r="O2434">
        <v>0</v>
      </c>
      <c r="P2434">
        <v>31.28</v>
      </c>
      <c r="Q2434">
        <v>13</v>
      </c>
      <c r="R2434">
        <v>13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13</v>
      </c>
      <c r="Z2434">
        <v>3</v>
      </c>
      <c r="AA2434">
        <v>0</v>
      </c>
      <c r="AC2434">
        <v>47.28</v>
      </c>
    </row>
    <row r="2435" spans="1:29">
      <c r="A2435">
        <v>2428</v>
      </c>
      <c r="B2435">
        <v>3701</v>
      </c>
      <c r="C2435" t="s">
        <v>5214</v>
      </c>
      <c r="D2435" t="s">
        <v>35</v>
      </c>
      <c r="E2435" t="s">
        <v>18</v>
      </c>
      <c r="F2435" t="s">
        <v>5215</v>
      </c>
      <c r="G2435" t="str">
        <f>"00394257"</f>
        <v>00394257</v>
      </c>
      <c r="H2435">
        <v>34.24</v>
      </c>
      <c r="I2435">
        <v>0</v>
      </c>
      <c r="M2435">
        <v>0</v>
      </c>
      <c r="N2435">
        <v>4</v>
      </c>
      <c r="O2435">
        <v>0</v>
      </c>
      <c r="P2435">
        <v>38.24</v>
      </c>
      <c r="Q2435">
        <v>0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9</v>
      </c>
      <c r="AA2435">
        <v>0</v>
      </c>
      <c r="AC2435">
        <v>47.24</v>
      </c>
    </row>
    <row r="2436" spans="1:29">
      <c r="A2436">
        <v>2429</v>
      </c>
      <c r="B2436">
        <v>2347</v>
      </c>
      <c r="C2436" t="s">
        <v>855</v>
      </c>
      <c r="D2436" t="s">
        <v>5216</v>
      </c>
      <c r="E2436" t="s">
        <v>967</v>
      </c>
      <c r="F2436" t="s">
        <v>5217</v>
      </c>
      <c r="G2436" t="str">
        <f>"00663829"</f>
        <v>00663829</v>
      </c>
      <c r="H2436">
        <v>31.2</v>
      </c>
      <c r="I2436">
        <v>10</v>
      </c>
      <c r="M2436">
        <v>0</v>
      </c>
      <c r="N2436">
        <v>0</v>
      </c>
      <c r="O2436">
        <v>0</v>
      </c>
      <c r="P2436">
        <v>41.2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6</v>
      </c>
      <c r="AA2436">
        <v>0</v>
      </c>
      <c r="AC2436">
        <v>47.2</v>
      </c>
    </row>
    <row r="2437" spans="1:29">
      <c r="A2437">
        <v>2430</v>
      </c>
      <c r="B2437">
        <v>2918</v>
      </c>
      <c r="C2437" t="s">
        <v>5224</v>
      </c>
      <c r="D2437" t="s">
        <v>5225</v>
      </c>
      <c r="E2437" t="s">
        <v>777</v>
      </c>
      <c r="F2437" t="s">
        <v>5226</v>
      </c>
      <c r="G2437" t="str">
        <f>"201412003037"</f>
        <v>201412003037</v>
      </c>
      <c r="H2437">
        <v>43.2</v>
      </c>
      <c r="I2437">
        <v>0</v>
      </c>
      <c r="L2437">
        <v>4</v>
      </c>
      <c r="M2437">
        <v>4</v>
      </c>
      <c r="N2437">
        <v>0</v>
      </c>
      <c r="O2437">
        <v>0</v>
      </c>
      <c r="P2437">
        <v>47.2</v>
      </c>
      <c r="Q2437">
        <v>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</v>
      </c>
      <c r="AC2437">
        <v>47.2</v>
      </c>
    </row>
    <row r="2438" spans="1:29">
      <c r="A2438">
        <v>2431</v>
      </c>
      <c r="B2438">
        <v>1706</v>
      </c>
      <c r="C2438" t="s">
        <v>5222</v>
      </c>
      <c r="D2438" t="s">
        <v>276</v>
      </c>
      <c r="E2438" t="s">
        <v>36</v>
      </c>
      <c r="F2438" t="s">
        <v>5223</v>
      </c>
      <c r="G2438" t="str">
        <f>"00772015"</f>
        <v>00772015</v>
      </c>
      <c r="H2438">
        <v>43.2</v>
      </c>
      <c r="I2438">
        <v>0</v>
      </c>
      <c r="M2438">
        <v>0</v>
      </c>
      <c r="N2438">
        <v>4</v>
      </c>
      <c r="O2438">
        <v>0</v>
      </c>
      <c r="P2438">
        <v>47.2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0</v>
      </c>
      <c r="Z2438">
        <v>0</v>
      </c>
      <c r="AA2438">
        <v>0</v>
      </c>
      <c r="AC2438">
        <v>47.2</v>
      </c>
    </row>
    <row r="2439" spans="1:29">
      <c r="A2439">
        <v>2432</v>
      </c>
      <c r="B2439">
        <v>1579</v>
      </c>
      <c r="C2439" t="s">
        <v>5218</v>
      </c>
      <c r="D2439" t="s">
        <v>820</v>
      </c>
      <c r="E2439" t="s">
        <v>15</v>
      </c>
      <c r="F2439" t="s">
        <v>5219</v>
      </c>
      <c r="G2439" t="str">
        <f>"00854643"</f>
        <v>00854643</v>
      </c>
      <c r="H2439">
        <v>43.2</v>
      </c>
      <c r="I2439">
        <v>0</v>
      </c>
      <c r="L2439">
        <v>4</v>
      </c>
      <c r="M2439">
        <v>4</v>
      </c>
      <c r="N2439">
        <v>0</v>
      </c>
      <c r="O2439">
        <v>0</v>
      </c>
      <c r="P2439">
        <v>47.2</v>
      </c>
      <c r="Q2439">
        <v>0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0</v>
      </c>
      <c r="AC2439">
        <v>47.2</v>
      </c>
    </row>
    <row r="2440" spans="1:29">
      <c r="A2440">
        <v>2433</v>
      </c>
      <c r="B2440">
        <v>3655</v>
      </c>
      <c r="C2440" t="s">
        <v>5230</v>
      </c>
      <c r="D2440" t="s">
        <v>52</v>
      </c>
      <c r="E2440" t="s">
        <v>89</v>
      </c>
      <c r="F2440" t="s">
        <v>5231</v>
      </c>
      <c r="G2440" t="str">
        <f>"00272287"</f>
        <v>00272287</v>
      </c>
      <c r="H2440">
        <v>43.2</v>
      </c>
      <c r="I2440">
        <v>0</v>
      </c>
      <c r="M2440">
        <v>0</v>
      </c>
      <c r="N2440">
        <v>4</v>
      </c>
      <c r="O2440">
        <v>0</v>
      </c>
      <c r="P2440">
        <v>47.2</v>
      </c>
      <c r="Q2440">
        <v>0</v>
      </c>
      <c r="R2440">
        <v>0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0</v>
      </c>
      <c r="Y2440">
        <v>0</v>
      </c>
      <c r="Z2440">
        <v>0</v>
      </c>
      <c r="AA2440">
        <v>0</v>
      </c>
      <c r="AC2440">
        <v>47.2</v>
      </c>
    </row>
    <row r="2441" spans="1:29">
      <c r="A2441">
        <v>2434</v>
      </c>
      <c r="B2441">
        <v>4399</v>
      </c>
      <c r="C2441" t="s">
        <v>5220</v>
      </c>
      <c r="D2441" t="s">
        <v>3326</v>
      </c>
      <c r="E2441" t="s">
        <v>89</v>
      </c>
      <c r="F2441" t="s">
        <v>5221</v>
      </c>
      <c r="G2441" t="str">
        <f>"00862848"</f>
        <v>00862848</v>
      </c>
      <c r="H2441">
        <v>43.2</v>
      </c>
      <c r="I2441">
        <v>0</v>
      </c>
      <c r="M2441">
        <v>0</v>
      </c>
      <c r="N2441">
        <v>4</v>
      </c>
      <c r="O2441">
        <v>0</v>
      </c>
      <c r="P2441">
        <v>47.2</v>
      </c>
      <c r="Q2441">
        <v>0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  <c r="AA2441">
        <v>0</v>
      </c>
      <c r="AC2441">
        <v>47.2</v>
      </c>
    </row>
    <row r="2442" spans="1:29">
      <c r="A2442">
        <v>2435</v>
      </c>
      <c r="B2442">
        <v>569</v>
      </c>
      <c r="C2442" t="s">
        <v>5227</v>
      </c>
      <c r="D2442" t="s">
        <v>5228</v>
      </c>
      <c r="E2442" t="s">
        <v>79</v>
      </c>
      <c r="F2442" t="s">
        <v>5229</v>
      </c>
      <c r="G2442" t="str">
        <f>"201511015303"</f>
        <v>201511015303</v>
      </c>
      <c r="H2442">
        <v>43.2</v>
      </c>
      <c r="I2442">
        <v>0</v>
      </c>
      <c r="M2442">
        <v>0</v>
      </c>
      <c r="N2442">
        <v>4</v>
      </c>
      <c r="O2442">
        <v>0</v>
      </c>
      <c r="P2442">
        <v>47.2</v>
      </c>
      <c r="Q2442">
        <v>0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0</v>
      </c>
      <c r="Z2442">
        <v>0</v>
      </c>
      <c r="AA2442">
        <v>0</v>
      </c>
      <c r="AC2442">
        <v>47.2</v>
      </c>
    </row>
    <row r="2443" spans="1:29">
      <c r="A2443">
        <v>2436</v>
      </c>
      <c r="B2443">
        <v>3073</v>
      </c>
      <c r="C2443" t="s">
        <v>26</v>
      </c>
      <c r="D2443" t="s">
        <v>27</v>
      </c>
      <c r="E2443" t="s">
        <v>79</v>
      </c>
      <c r="F2443" t="s">
        <v>5236</v>
      </c>
      <c r="G2443" t="str">
        <f>"00727316"</f>
        <v>00727316</v>
      </c>
      <c r="H2443">
        <v>43.2</v>
      </c>
      <c r="I2443">
        <v>0</v>
      </c>
      <c r="M2443">
        <v>0</v>
      </c>
      <c r="N2443">
        <v>4</v>
      </c>
      <c r="O2443">
        <v>0</v>
      </c>
      <c r="P2443">
        <v>47.2</v>
      </c>
      <c r="Q2443">
        <v>0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0</v>
      </c>
      <c r="Z2443">
        <v>0</v>
      </c>
      <c r="AA2443">
        <v>0</v>
      </c>
      <c r="AC2443">
        <v>47.2</v>
      </c>
    </row>
    <row r="2444" spans="1:29">
      <c r="A2444">
        <v>2437</v>
      </c>
      <c r="B2444">
        <v>819</v>
      </c>
      <c r="C2444" t="s">
        <v>5234</v>
      </c>
      <c r="D2444" t="s">
        <v>95</v>
      </c>
      <c r="E2444" t="s">
        <v>337</v>
      </c>
      <c r="F2444" t="s">
        <v>5235</v>
      </c>
      <c r="G2444" t="str">
        <f>"00782154"</f>
        <v>00782154</v>
      </c>
      <c r="H2444">
        <v>43.2</v>
      </c>
      <c r="I2444">
        <v>0</v>
      </c>
      <c r="M2444">
        <v>0</v>
      </c>
      <c r="N2444">
        <v>4</v>
      </c>
      <c r="O2444">
        <v>0</v>
      </c>
      <c r="P2444">
        <v>47.2</v>
      </c>
      <c r="Q2444">
        <v>0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0</v>
      </c>
      <c r="Z2444">
        <v>0</v>
      </c>
      <c r="AA2444">
        <v>0</v>
      </c>
      <c r="AC2444">
        <v>47.2</v>
      </c>
    </row>
    <row r="2445" spans="1:29">
      <c r="A2445">
        <v>2438</v>
      </c>
      <c r="B2445">
        <v>4765</v>
      </c>
      <c r="C2445" t="s">
        <v>5232</v>
      </c>
      <c r="D2445" t="s">
        <v>27</v>
      </c>
      <c r="E2445" t="s">
        <v>319</v>
      </c>
      <c r="F2445" t="s">
        <v>5233</v>
      </c>
      <c r="G2445" t="str">
        <f>"00560496"</f>
        <v>00560496</v>
      </c>
      <c r="H2445">
        <v>43.2</v>
      </c>
      <c r="I2445">
        <v>0</v>
      </c>
      <c r="M2445">
        <v>0</v>
      </c>
      <c r="N2445">
        <v>4</v>
      </c>
      <c r="O2445">
        <v>0</v>
      </c>
      <c r="P2445">
        <v>47.2</v>
      </c>
      <c r="Q2445">
        <v>0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  <c r="AA2445">
        <v>0</v>
      </c>
      <c r="AC2445">
        <v>47.2</v>
      </c>
    </row>
    <row r="2446" spans="1:29">
      <c r="A2446">
        <v>2439</v>
      </c>
      <c r="B2446">
        <v>4031</v>
      </c>
      <c r="C2446" t="s">
        <v>5237</v>
      </c>
      <c r="D2446" t="s">
        <v>52</v>
      </c>
      <c r="E2446" t="s">
        <v>3870</v>
      </c>
      <c r="F2446" t="s">
        <v>5238</v>
      </c>
      <c r="G2446" t="str">
        <f>"00862423"</f>
        <v>00862423</v>
      </c>
      <c r="H2446">
        <v>43.2</v>
      </c>
      <c r="I2446">
        <v>0</v>
      </c>
      <c r="M2446">
        <v>0</v>
      </c>
      <c r="N2446">
        <v>4</v>
      </c>
      <c r="O2446">
        <v>0</v>
      </c>
      <c r="P2446">
        <v>47.2</v>
      </c>
      <c r="Q2446">
        <v>0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0</v>
      </c>
      <c r="Z2446">
        <v>0</v>
      </c>
      <c r="AA2446">
        <v>0</v>
      </c>
      <c r="AC2446">
        <v>47.2</v>
      </c>
    </row>
    <row r="2447" spans="1:29">
      <c r="A2447">
        <v>2440</v>
      </c>
      <c r="B2447">
        <v>274</v>
      </c>
      <c r="C2447" t="s">
        <v>5239</v>
      </c>
      <c r="D2447" t="s">
        <v>20</v>
      </c>
      <c r="E2447" t="s">
        <v>115</v>
      </c>
      <c r="F2447" t="s">
        <v>5240</v>
      </c>
      <c r="G2447" t="str">
        <f>"00739301"</f>
        <v>00739301</v>
      </c>
      <c r="H2447">
        <v>39.200000000000003</v>
      </c>
      <c r="I2447">
        <v>0</v>
      </c>
      <c r="L2447">
        <v>4</v>
      </c>
      <c r="M2447">
        <v>4</v>
      </c>
      <c r="N2447">
        <v>4</v>
      </c>
      <c r="O2447">
        <v>0</v>
      </c>
      <c r="P2447">
        <v>47.2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  <c r="AA2447">
        <v>0</v>
      </c>
      <c r="AC2447">
        <v>47.2</v>
      </c>
    </row>
    <row r="2448" spans="1:29">
      <c r="A2448">
        <v>2441</v>
      </c>
      <c r="B2448">
        <v>4757</v>
      </c>
      <c r="C2448" t="s">
        <v>5241</v>
      </c>
      <c r="D2448" t="s">
        <v>1187</v>
      </c>
      <c r="E2448" t="s">
        <v>5242</v>
      </c>
      <c r="F2448" t="s">
        <v>5243</v>
      </c>
      <c r="G2448" t="str">
        <f>"00866782"</f>
        <v>00866782</v>
      </c>
      <c r="H2448">
        <v>39.200000000000003</v>
      </c>
      <c r="I2448">
        <v>0</v>
      </c>
      <c r="L2448">
        <v>4</v>
      </c>
      <c r="M2448">
        <v>4</v>
      </c>
      <c r="N2448">
        <v>4</v>
      </c>
      <c r="O2448">
        <v>0</v>
      </c>
      <c r="P2448">
        <v>47.2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0</v>
      </c>
      <c r="AC2448">
        <v>47.2</v>
      </c>
    </row>
    <row r="2449" spans="1:29">
      <c r="A2449">
        <v>2442</v>
      </c>
      <c r="B2449">
        <v>967</v>
      </c>
      <c r="C2449" t="s">
        <v>5246</v>
      </c>
      <c r="D2449" t="s">
        <v>5247</v>
      </c>
      <c r="E2449" t="s">
        <v>115</v>
      </c>
      <c r="F2449" t="s">
        <v>5248</v>
      </c>
      <c r="G2449" t="str">
        <f>"201412007020"</f>
        <v>201412007020</v>
      </c>
      <c r="H2449">
        <v>37.200000000000003</v>
      </c>
      <c r="I2449">
        <v>0</v>
      </c>
      <c r="L2449">
        <v>4</v>
      </c>
      <c r="M2449">
        <v>4</v>
      </c>
      <c r="N2449">
        <v>4</v>
      </c>
      <c r="O2449">
        <v>2</v>
      </c>
      <c r="P2449">
        <v>47.2</v>
      </c>
      <c r="Q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0</v>
      </c>
      <c r="AC2449">
        <v>47.2</v>
      </c>
    </row>
    <row r="2450" spans="1:29">
      <c r="A2450">
        <v>2443</v>
      </c>
      <c r="B2450">
        <v>751</v>
      </c>
      <c r="C2450" t="s">
        <v>5244</v>
      </c>
      <c r="D2450" t="s">
        <v>473</v>
      </c>
      <c r="E2450" t="s">
        <v>53</v>
      </c>
      <c r="F2450" t="s">
        <v>5245</v>
      </c>
      <c r="G2450" t="str">
        <f>"00261915"</f>
        <v>00261915</v>
      </c>
      <c r="H2450">
        <v>37.200000000000003</v>
      </c>
      <c r="I2450">
        <v>0</v>
      </c>
      <c r="L2450">
        <v>4</v>
      </c>
      <c r="M2450">
        <v>4</v>
      </c>
      <c r="N2450">
        <v>4</v>
      </c>
      <c r="O2450">
        <v>2</v>
      </c>
      <c r="P2450">
        <v>47.2</v>
      </c>
      <c r="Q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0</v>
      </c>
      <c r="Z2450">
        <v>0</v>
      </c>
      <c r="AA2450">
        <v>0</v>
      </c>
      <c r="AC2450">
        <v>47.2</v>
      </c>
    </row>
    <row r="2451" spans="1:29">
      <c r="A2451">
        <v>2444</v>
      </c>
      <c r="B2451">
        <v>1897</v>
      </c>
      <c r="C2451" t="s">
        <v>5249</v>
      </c>
      <c r="D2451" t="s">
        <v>98</v>
      </c>
      <c r="E2451" t="s">
        <v>15</v>
      </c>
      <c r="F2451" t="s">
        <v>5250</v>
      </c>
      <c r="G2451" t="str">
        <f>"00528648"</f>
        <v>00528648</v>
      </c>
      <c r="H2451">
        <v>7.2</v>
      </c>
      <c r="I2451">
        <v>10</v>
      </c>
      <c r="M2451">
        <v>0</v>
      </c>
      <c r="N2451">
        <v>4</v>
      </c>
      <c r="O2451">
        <v>0</v>
      </c>
      <c r="P2451">
        <v>21.2</v>
      </c>
      <c r="Q2451">
        <v>26</v>
      </c>
      <c r="R2451">
        <v>26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26</v>
      </c>
      <c r="Z2451">
        <v>0</v>
      </c>
      <c r="AA2451">
        <v>0</v>
      </c>
      <c r="AC2451">
        <v>47.2</v>
      </c>
    </row>
    <row r="2452" spans="1:29">
      <c r="A2452">
        <v>2445</v>
      </c>
      <c r="B2452">
        <v>2202</v>
      </c>
      <c r="C2452" t="s">
        <v>4311</v>
      </c>
      <c r="D2452" t="s">
        <v>784</v>
      </c>
      <c r="E2452" t="s">
        <v>134</v>
      </c>
      <c r="F2452" t="s">
        <v>5251</v>
      </c>
      <c r="G2452" t="str">
        <f>"00100969"</f>
        <v>00100969</v>
      </c>
      <c r="H2452">
        <v>10.119999999999999</v>
      </c>
      <c r="I2452">
        <v>0</v>
      </c>
      <c r="M2452">
        <v>0</v>
      </c>
      <c r="N2452">
        <v>4</v>
      </c>
      <c r="O2452">
        <v>2</v>
      </c>
      <c r="P2452">
        <v>16.12</v>
      </c>
      <c r="Q2452">
        <v>22</v>
      </c>
      <c r="R2452">
        <v>22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22</v>
      </c>
      <c r="Z2452">
        <v>9</v>
      </c>
      <c r="AA2452">
        <v>0</v>
      </c>
      <c r="AC2452">
        <v>47.12</v>
      </c>
    </row>
    <row r="2453" spans="1:29">
      <c r="A2453">
        <v>2446</v>
      </c>
      <c r="B2453">
        <v>3748</v>
      </c>
      <c r="C2453" t="s">
        <v>5258</v>
      </c>
      <c r="D2453" t="s">
        <v>130</v>
      </c>
      <c r="E2453" t="s">
        <v>647</v>
      </c>
      <c r="F2453" t="s">
        <v>5259</v>
      </c>
      <c r="G2453" t="str">
        <f>"201511041063"</f>
        <v>201511041063</v>
      </c>
      <c r="H2453">
        <v>40</v>
      </c>
      <c r="I2453">
        <v>0</v>
      </c>
      <c r="M2453">
        <v>0</v>
      </c>
      <c r="N2453">
        <v>4</v>
      </c>
      <c r="O2453">
        <v>0</v>
      </c>
      <c r="P2453">
        <v>44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3</v>
      </c>
      <c r="AA2453">
        <v>0</v>
      </c>
      <c r="AC2453">
        <v>47</v>
      </c>
    </row>
    <row r="2454" spans="1:29">
      <c r="A2454">
        <v>2447</v>
      </c>
      <c r="B2454">
        <v>3675</v>
      </c>
      <c r="C2454" t="s">
        <v>5252</v>
      </c>
      <c r="D2454" t="s">
        <v>31</v>
      </c>
      <c r="E2454" t="s">
        <v>79</v>
      </c>
      <c r="F2454" t="s">
        <v>5253</v>
      </c>
      <c r="G2454" t="str">
        <f>"00619831"</f>
        <v>00619831</v>
      </c>
      <c r="H2454">
        <v>40</v>
      </c>
      <c r="I2454">
        <v>0</v>
      </c>
      <c r="M2454">
        <v>0</v>
      </c>
      <c r="N2454">
        <v>4</v>
      </c>
      <c r="O2454">
        <v>0</v>
      </c>
      <c r="P2454">
        <v>44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3</v>
      </c>
      <c r="AA2454">
        <v>0</v>
      </c>
      <c r="AC2454">
        <v>47</v>
      </c>
    </row>
    <row r="2455" spans="1:29">
      <c r="A2455">
        <v>2448</v>
      </c>
      <c r="B2455">
        <v>1302</v>
      </c>
      <c r="C2455" t="s">
        <v>5254</v>
      </c>
      <c r="D2455" t="s">
        <v>39</v>
      </c>
      <c r="E2455" t="s">
        <v>18</v>
      </c>
      <c r="F2455" t="s">
        <v>5255</v>
      </c>
      <c r="G2455" t="str">
        <f>"00856348"</f>
        <v>00856348</v>
      </c>
      <c r="H2455">
        <v>40</v>
      </c>
      <c r="I2455">
        <v>0</v>
      </c>
      <c r="M2455">
        <v>0</v>
      </c>
      <c r="N2455">
        <v>4</v>
      </c>
      <c r="O2455">
        <v>0</v>
      </c>
      <c r="P2455">
        <v>44</v>
      </c>
      <c r="Q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3</v>
      </c>
      <c r="AA2455">
        <v>0</v>
      </c>
      <c r="AC2455">
        <v>47</v>
      </c>
    </row>
    <row r="2456" spans="1:29">
      <c r="A2456">
        <v>2449</v>
      </c>
      <c r="B2456">
        <v>4904</v>
      </c>
      <c r="C2456" t="s">
        <v>5256</v>
      </c>
      <c r="D2456" t="s">
        <v>544</v>
      </c>
      <c r="E2456" t="s">
        <v>18</v>
      </c>
      <c r="F2456" t="s">
        <v>5257</v>
      </c>
      <c r="G2456" t="str">
        <f>"00305534"</f>
        <v>00305534</v>
      </c>
      <c r="H2456">
        <v>40</v>
      </c>
      <c r="I2456">
        <v>0</v>
      </c>
      <c r="M2456">
        <v>0</v>
      </c>
      <c r="N2456">
        <v>4</v>
      </c>
      <c r="O2456">
        <v>0</v>
      </c>
      <c r="P2456">
        <v>44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3</v>
      </c>
      <c r="AA2456">
        <v>0</v>
      </c>
      <c r="AC2456">
        <v>47</v>
      </c>
    </row>
    <row r="2457" spans="1:29">
      <c r="A2457">
        <v>2450</v>
      </c>
      <c r="B2457">
        <v>136</v>
      </c>
      <c r="C2457" t="s">
        <v>5260</v>
      </c>
      <c r="D2457" t="s">
        <v>5261</v>
      </c>
      <c r="E2457" t="s">
        <v>237</v>
      </c>
      <c r="F2457" t="s">
        <v>5262</v>
      </c>
      <c r="G2457" t="str">
        <f>"00533871"</f>
        <v>00533871</v>
      </c>
      <c r="H2457">
        <v>40</v>
      </c>
      <c r="I2457">
        <v>0</v>
      </c>
      <c r="M2457">
        <v>0</v>
      </c>
      <c r="N2457">
        <v>4</v>
      </c>
      <c r="O2457">
        <v>0</v>
      </c>
      <c r="P2457">
        <v>44</v>
      </c>
      <c r="Q2457">
        <v>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3</v>
      </c>
      <c r="AA2457">
        <v>0</v>
      </c>
      <c r="AC2457">
        <v>47</v>
      </c>
    </row>
    <row r="2458" spans="1:29">
      <c r="A2458">
        <v>2451</v>
      </c>
      <c r="B2458">
        <v>2350</v>
      </c>
      <c r="C2458" t="s">
        <v>5265</v>
      </c>
      <c r="D2458" t="s">
        <v>95</v>
      </c>
      <c r="E2458" t="s">
        <v>5266</v>
      </c>
      <c r="F2458" t="s">
        <v>5267</v>
      </c>
      <c r="G2458" t="str">
        <f>"00801957"</f>
        <v>00801957</v>
      </c>
      <c r="H2458">
        <v>36</v>
      </c>
      <c r="I2458">
        <v>0</v>
      </c>
      <c r="L2458">
        <v>4</v>
      </c>
      <c r="M2458">
        <v>4</v>
      </c>
      <c r="N2458">
        <v>4</v>
      </c>
      <c r="O2458">
        <v>0</v>
      </c>
      <c r="P2458">
        <v>44</v>
      </c>
      <c r="Q2458">
        <v>0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v>3</v>
      </c>
      <c r="AA2458">
        <v>0</v>
      </c>
      <c r="AC2458">
        <v>47</v>
      </c>
    </row>
    <row r="2459" spans="1:29">
      <c r="A2459">
        <v>2452</v>
      </c>
      <c r="B2459">
        <v>1826</v>
      </c>
      <c r="C2459" t="s">
        <v>1655</v>
      </c>
      <c r="D2459" t="s">
        <v>5268</v>
      </c>
      <c r="E2459" t="s">
        <v>379</v>
      </c>
      <c r="F2459" t="s">
        <v>5269</v>
      </c>
      <c r="G2459" t="str">
        <f>"00524606"</f>
        <v>00524606</v>
      </c>
      <c r="H2459">
        <v>36</v>
      </c>
      <c r="I2459">
        <v>0</v>
      </c>
      <c r="L2459">
        <v>4</v>
      </c>
      <c r="M2459">
        <v>4</v>
      </c>
      <c r="N2459">
        <v>4</v>
      </c>
      <c r="O2459">
        <v>0</v>
      </c>
      <c r="P2459">
        <v>44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v>3</v>
      </c>
      <c r="AA2459">
        <v>0</v>
      </c>
      <c r="AC2459">
        <v>47</v>
      </c>
    </row>
    <row r="2460" spans="1:29">
      <c r="A2460">
        <v>2453</v>
      </c>
      <c r="B2460">
        <v>4386</v>
      </c>
      <c r="C2460" t="s">
        <v>5272</v>
      </c>
      <c r="D2460" t="s">
        <v>124</v>
      </c>
      <c r="E2460" t="s">
        <v>337</v>
      </c>
      <c r="F2460" t="s">
        <v>5273</v>
      </c>
      <c r="G2460" t="str">
        <f>"00278960"</f>
        <v>00278960</v>
      </c>
      <c r="H2460">
        <v>36</v>
      </c>
      <c r="I2460">
        <v>0</v>
      </c>
      <c r="L2460">
        <v>4</v>
      </c>
      <c r="M2460">
        <v>4</v>
      </c>
      <c r="N2460">
        <v>4</v>
      </c>
      <c r="O2460">
        <v>0</v>
      </c>
      <c r="P2460">
        <v>44</v>
      </c>
      <c r="Q2460">
        <v>0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3</v>
      </c>
      <c r="AA2460">
        <v>0</v>
      </c>
      <c r="AC2460">
        <v>47</v>
      </c>
    </row>
    <row r="2461" spans="1:29">
      <c r="A2461">
        <v>2454</v>
      </c>
      <c r="B2461">
        <v>2581</v>
      </c>
      <c r="C2461" t="s">
        <v>5270</v>
      </c>
      <c r="D2461" t="s">
        <v>108</v>
      </c>
      <c r="E2461" t="s">
        <v>410</v>
      </c>
      <c r="F2461" t="s">
        <v>5271</v>
      </c>
      <c r="G2461" t="str">
        <f>"00864833"</f>
        <v>00864833</v>
      </c>
      <c r="H2461">
        <v>36</v>
      </c>
      <c r="I2461">
        <v>0</v>
      </c>
      <c r="L2461">
        <v>4</v>
      </c>
      <c r="M2461">
        <v>4</v>
      </c>
      <c r="N2461">
        <v>4</v>
      </c>
      <c r="O2461">
        <v>0</v>
      </c>
      <c r="P2461">
        <v>44</v>
      </c>
      <c r="Q2461">
        <v>0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0</v>
      </c>
      <c r="Z2461">
        <v>3</v>
      </c>
      <c r="AA2461">
        <v>0</v>
      </c>
      <c r="AC2461">
        <v>47</v>
      </c>
    </row>
    <row r="2462" spans="1:29">
      <c r="A2462">
        <v>2455</v>
      </c>
      <c r="B2462">
        <v>2909</v>
      </c>
      <c r="C2462" t="s">
        <v>5263</v>
      </c>
      <c r="D2462" t="s">
        <v>787</v>
      </c>
      <c r="E2462" t="s">
        <v>115</v>
      </c>
      <c r="F2462" t="s">
        <v>5264</v>
      </c>
      <c r="G2462" t="str">
        <f>"00860154"</f>
        <v>00860154</v>
      </c>
      <c r="H2462">
        <v>36</v>
      </c>
      <c r="I2462">
        <v>0</v>
      </c>
      <c r="L2462">
        <v>4</v>
      </c>
      <c r="M2462">
        <v>4</v>
      </c>
      <c r="N2462">
        <v>4</v>
      </c>
      <c r="O2462">
        <v>0</v>
      </c>
      <c r="P2462">
        <v>44</v>
      </c>
      <c r="Q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0</v>
      </c>
      <c r="Z2462">
        <v>3</v>
      </c>
      <c r="AA2462">
        <v>0</v>
      </c>
      <c r="AC2462">
        <v>47</v>
      </c>
    </row>
    <row r="2463" spans="1:29">
      <c r="A2463">
        <v>2456</v>
      </c>
      <c r="B2463">
        <v>4178</v>
      </c>
      <c r="C2463" t="s">
        <v>5274</v>
      </c>
      <c r="D2463" t="s">
        <v>784</v>
      </c>
      <c r="E2463" t="s">
        <v>28</v>
      </c>
      <c r="F2463" t="s">
        <v>5275</v>
      </c>
      <c r="G2463" t="str">
        <f>"00835901"</f>
        <v>00835901</v>
      </c>
      <c r="H2463">
        <v>36</v>
      </c>
      <c r="I2463">
        <v>0</v>
      </c>
      <c r="L2463">
        <v>4</v>
      </c>
      <c r="M2463">
        <v>4</v>
      </c>
      <c r="N2463">
        <v>4</v>
      </c>
      <c r="O2463">
        <v>0</v>
      </c>
      <c r="P2463">
        <v>44</v>
      </c>
      <c r="Q2463">
        <v>0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0</v>
      </c>
      <c r="Z2463">
        <v>3</v>
      </c>
      <c r="AA2463">
        <v>0</v>
      </c>
      <c r="AC2463">
        <v>47</v>
      </c>
    </row>
    <row r="2464" spans="1:29">
      <c r="A2464">
        <v>2457</v>
      </c>
      <c r="B2464">
        <v>2063</v>
      </c>
      <c r="C2464" t="s">
        <v>5276</v>
      </c>
      <c r="D2464" t="s">
        <v>24</v>
      </c>
      <c r="E2464" t="s">
        <v>5277</v>
      </c>
      <c r="F2464" t="s">
        <v>5278</v>
      </c>
      <c r="G2464" t="str">
        <f>"00862112"</f>
        <v>00862112</v>
      </c>
      <c r="H2464">
        <v>36.92</v>
      </c>
      <c r="I2464">
        <v>0</v>
      </c>
      <c r="M2464">
        <v>0</v>
      </c>
      <c r="N2464">
        <v>4</v>
      </c>
      <c r="O2464">
        <v>0</v>
      </c>
      <c r="P2464">
        <v>40.92</v>
      </c>
      <c r="Q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6</v>
      </c>
      <c r="AA2464">
        <v>0</v>
      </c>
      <c r="AC2464">
        <v>46.92</v>
      </c>
    </row>
    <row r="2465" spans="1:29">
      <c r="A2465">
        <v>2458</v>
      </c>
      <c r="B2465">
        <v>3596</v>
      </c>
      <c r="C2465" t="s">
        <v>571</v>
      </c>
      <c r="D2465" t="s">
        <v>52</v>
      </c>
      <c r="E2465" t="s">
        <v>190</v>
      </c>
      <c r="F2465" t="s">
        <v>5279</v>
      </c>
      <c r="G2465" t="str">
        <f>"00856507"</f>
        <v>00856507</v>
      </c>
      <c r="H2465">
        <v>26.92</v>
      </c>
      <c r="I2465">
        <v>10</v>
      </c>
      <c r="L2465">
        <v>4</v>
      </c>
      <c r="M2465">
        <v>4</v>
      </c>
      <c r="N2465">
        <v>0</v>
      </c>
      <c r="O2465">
        <v>0</v>
      </c>
      <c r="P2465">
        <v>40.92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0</v>
      </c>
      <c r="Z2465">
        <v>6</v>
      </c>
      <c r="AA2465">
        <v>0</v>
      </c>
      <c r="AC2465">
        <v>46.92</v>
      </c>
    </row>
    <row r="2466" spans="1:29">
      <c r="A2466">
        <v>2459</v>
      </c>
      <c r="B2466">
        <v>873</v>
      </c>
      <c r="C2466" t="s">
        <v>5280</v>
      </c>
      <c r="D2466" t="s">
        <v>179</v>
      </c>
      <c r="E2466" t="s">
        <v>15</v>
      </c>
      <c r="F2466" t="s">
        <v>5281</v>
      </c>
      <c r="G2466" t="str">
        <f>"00438465"</f>
        <v>00438465</v>
      </c>
      <c r="H2466">
        <v>32.92</v>
      </c>
      <c r="I2466">
        <v>10</v>
      </c>
      <c r="M2466">
        <v>0</v>
      </c>
      <c r="N2466">
        <v>4</v>
      </c>
      <c r="O2466">
        <v>0</v>
      </c>
      <c r="P2466">
        <v>46.92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0</v>
      </c>
      <c r="AC2466">
        <v>46.92</v>
      </c>
    </row>
    <row r="2467" spans="1:29">
      <c r="A2467">
        <v>2460</v>
      </c>
      <c r="B2467">
        <v>1052</v>
      </c>
      <c r="C2467" t="s">
        <v>178</v>
      </c>
      <c r="D2467" t="s">
        <v>248</v>
      </c>
      <c r="E2467" t="s">
        <v>134</v>
      </c>
      <c r="F2467" t="s">
        <v>5282</v>
      </c>
      <c r="G2467" t="str">
        <f>"201303000105"</f>
        <v>201303000105</v>
      </c>
      <c r="H2467">
        <v>29.88</v>
      </c>
      <c r="I2467">
        <v>0</v>
      </c>
      <c r="L2467">
        <v>4</v>
      </c>
      <c r="M2467">
        <v>4</v>
      </c>
      <c r="N2467">
        <v>4</v>
      </c>
      <c r="O2467">
        <v>0</v>
      </c>
      <c r="P2467">
        <v>37.880000000000003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9</v>
      </c>
      <c r="AA2467">
        <v>0</v>
      </c>
      <c r="AC2467">
        <v>46.88</v>
      </c>
    </row>
    <row r="2468" spans="1:29">
      <c r="A2468">
        <v>2461</v>
      </c>
      <c r="B2468">
        <v>1130</v>
      </c>
      <c r="C2468" t="s">
        <v>5283</v>
      </c>
      <c r="D2468" t="s">
        <v>141</v>
      </c>
      <c r="E2468" t="s">
        <v>5284</v>
      </c>
      <c r="F2468" t="s">
        <v>5285</v>
      </c>
      <c r="G2468" t="str">
        <f>"00399629"</f>
        <v>00399629</v>
      </c>
      <c r="H2468">
        <v>36.799999999999997</v>
      </c>
      <c r="I2468">
        <v>0</v>
      </c>
      <c r="M2468">
        <v>0</v>
      </c>
      <c r="N2468">
        <v>4</v>
      </c>
      <c r="O2468">
        <v>0</v>
      </c>
      <c r="P2468">
        <v>40.799999999999997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0</v>
      </c>
      <c r="Z2468">
        <v>6</v>
      </c>
      <c r="AA2468">
        <v>0</v>
      </c>
      <c r="AC2468">
        <v>46.8</v>
      </c>
    </row>
    <row r="2469" spans="1:29">
      <c r="A2469">
        <v>2462</v>
      </c>
      <c r="B2469">
        <v>3652</v>
      </c>
      <c r="C2469" t="s">
        <v>5288</v>
      </c>
      <c r="D2469" t="s">
        <v>52</v>
      </c>
      <c r="E2469" t="s">
        <v>3656</v>
      </c>
      <c r="F2469" t="s">
        <v>5289</v>
      </c>
      <c r="G2469" t="str">
        <f>"00840268"</f>
        <v>00840268</v>
      </c>
      <c r="H2469">
        <v>28.8</v>
      </c>
      <c r="I2469">
        <v>0</v>
      </c>
      <c r="J2469">
        <v>8</v>
      </c>
      <c r="M2469">
        <v>8</v>
      </c>
      <c r="N2469">
        <v>4</v>
      </c>
      <c r="O2469">
        <v>0</v>
      </c>
      <c r="P2469">
        <v>40.799999999999997</v>
      </c>
      <c r="Q2469">
        <v>0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6</v>
      </c>
      <c r="AA2469">
        <v>0</v>
      </c>
      <c r="AC2469">
        <v>46.8</v>
      </c>
    </row>
    <row r="2470" spans="1:29">
      <c r="A2470">
        <v>2463</v>
      </c>
      <c r="B2470">
        <v>446</v>
      </c>
      <c r="C2470" t="s">
        <v>5286</v>
      </c>
      <c r="D2470" t="s">
        <v>98</v>
      </c>
      <c r="E2470" t="s">
        <v>4567</v>
      </c>
      <c r="F2470" t="s">
        <v>5287</v>
      </c>
      <c r="G2470" t="str">
        <f>"00660368"</f>
        <v>00660368</v>
      </c>
      <c r="H2470">
        <v>28.8</v>
      </c>
      <c r="I2470">
        <v>0</v>
      </c>
      <c r="J2470">
        <v>8</v>
      </c>
      <c r="M2470">
        <v>8</v>
      </c>
      <c r="N2470">
        <v>4</v>
      </c>
      <c r="O2470">
        <v>0</v>
      </c>
      <c r="P2470">
        <v>40.799999999999997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0</v>
      </c>
      <c r="Z2470">
        <v>6</v>
      </c>
      <c r="AA2470">
        <v>0</v>
      </c>
      <c r="AC2470">
        <v>46.8</v>
      </c>
    </row>
    <row r="2471" spans="1:29">
      <c r="A2471">
        <v>2464</v>
      </c>
      <c r="B2471">
        <v>4941</v>
      </c>
      <c r="C2471" t="s">
        <v>5290</v>
      </c>
      <c r="D2471" t="s">
        <v>832</v>
      </c>
      <c r="E2471" t="s">
        <v>18</v>
      </c>
      <c r="F2471" t="s">
        <v>5291</v>
      </c>
      <c r="G2471" t="str">
        <f>"00554620"</f>
        <v>00554620</v>
      </c>
      <c r="H2471">
        <v>20.8</v>
      </c>
      <c r="I2471">
        <v>10</v>
      </c>
      <c r="L2471">
        <v>4</v>
      </c>
      <c r="M2471">
        <v>4</v>
      </c>
      <c r="N2471">
        <v>4</v>
      </c>
      <c r="O2471">
        <v>2</v>
      </c>
      <c r="P2471">
        <v>40.799999999999997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0</v>
      </c>
      <c r="Z2471">
        <v>6</v>
      </c>
      <c r="AA2471">
        <v>0</v>
      </c>
      <c r="AC2471">
        <v>46.8</v>
      </c>
    </row>
    <row r="2472" spans="1:29">
      <c r="A2472">
        <v>2465</v>
      </c>
      <c r="B2472">
        <v>2051</v>
      </c>
      <c r="C2472" t="s">
        <v>5292</v>
      </c>
      <c r="D2472" t="s">
        <v>159</v>
      </c>
      <c r="E2472" t="s">
        <v>15</v>
      </c>
      <c r="F2472" t="s">
        <v>5293</v>
      </c>
      <c r="G2472" t="str">
        <f>"00855089"</f>
        <v>00855089</v>
      </c>
      <c r="H2472">
        <v>25.8</v>
      </c>
      <c r="I2472">
        <v>10</v>
      </c>
      <c r="L2472">
        <v>4</v>
      </c>
      <c r="M2472">
        <v>4</v>
      </c>
      <c r="N2472">
        <v>4</v>
      </c>
      <c r="O2472">
        <v>0</v>
      </c>
      <c r="P2472">
        <v>43.8</v>
      </c>
      <c r="Q2472">
        <v>0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v>3</v>
      </c>
      <c r="AA2472">
        <v>0</v>
      </c>
      <c r="AC2472">
        <v>46.8</v>
      </c>
    </row>
    <row r="2473" spans="1:29">
      <c r="A2473">
        <v>2466</v>
      </c>
      <c r="B2473">
        <v>4743</v>
      </c>
      <c r="C2473" t="s">
        <v>5294</v>
      </c>
      <c r="D2473" t="s">
        <v>164</v>
      </c>
      <c r="E2473" t="s">
        <v>134</v>
      </c>
      <c r="F2473" t="s">
        <v>5295</v>
      </c>
      <c r="G2473" t="str">
        <f>"00654752"</f>
        <v>00654752</v>
      </c>
      <c r="H2473">
        <v>36.799999999999997</v>
      </c>
      <c r="I2473">
        <v>0</v>
      </c>
      <c r="K2473">
        <v>6</v>
      </c>
      <c r="M2473">
        <v>6</v>
      </c>
      <c r="N2473">
        <v>4</v>
      </c>
      <c r="O2473">
        <v>0</v>
      </c>
      <c r="P2473">
        <v>46.8</v>
      </c>
      <c r="Q2473">
        <v>0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0</v>
      </c>
      <c r="Z2473">
        <v>0</v>
      </c>
      <c r="AA2473">
        <v>0</v>
      </c>
      <c r="AC2473">
        <v>46.8</v>
      </c>
    </row>
    <row r="2474" spans="1:29">
      <c r="A2474">
        <v>2467</v>
      </c>
      <c r="B2474">
        <v>2879</v>
      </c>
      <c r="C2474" t="s">
        <v>5296</v>
      </c>
      <c r="D2474" t="s">
        <v>159</v>
      </c>
      <c r="E2474" t="s">
        <v>410</v>
      </c>
      <c r="F2474" t="s">
        <v>5297</v>
      </c>
      <c r="G2474" t="str">
        <f>"201604003086"</f>
        <v>201604003086</v>
      </c>
      <c r="H2474">
        <v>28.8</v>
      </c>
      <c r="I2474">
        <v>10</v>
      </c>
      <c r="L2474">
        <v>4</v>
      </c>
      <c r="M2474">
        <v>4</v>
      </c>
      <c r="N2474">
        <v>4</v>
      </c>
      <c r="O2474">
        <v>0</v>
      </c>
      <c r="P2474">
        <v>46.8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0</v>
      </c>
      <c r="Z2474">
        <v>0</v>
      </c>
      <c r="AA2474">
        <v>0</v>
      </c>
      <c r="AC2474">
        <v>46.8</v>
      </c>
    </row>
    <row r="2475" spans="1:29">
      <c r="A2475">
        <v>2468</v>
      </c>
      <c r="B2475">
        <v>4712</v>
      </c>
      <c r="C2475" t="s">
        <v>5298</v>
      </c>
      <c r="D2475" t="s">
        <v>2573</v>
      </c>
      <c r="E2475" t="s">
        <v>156</v>
      </c>
      <c r="F2475" t="s">
        <v>5299</v>
      </c>
      <c r="G2475" t="str">
        <f>"00653092"</f>
        <v>00653092</v>
      </c>
      <c r="H2475">
        <v>37.76</v>
      </c>
      <c r="I2475">
        <v>0</v>
      </c>
      <c r="M2475">
        <v>0</v>
      </c>
      <c r="N2475">
        <v>0</v>
      </c>
      <c r="O2475">
        <v>0</v>
      </c>
      <c r="P2475">
        <v>37.76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0</v>
      </c>
      <c r="Z2475">
        <v>9</v>
      </c>
      <c r="AA2475">
        <v>0</v>
      </c>
      <c r="AC2475">
        <v>46.76</v>
      </c>
    </row>
    <row r="2476" spans="1:29">
      <c r="A2476">
        <v>2469</v>
      </c>
      <c r="B2476">
        <v>71</v>
      </c>
      <c r="C2476" t="s">
        <v>1457</v>
      </c>
      <c r="D2476" t="s">
        <v>31</v>
      </c>
      <c r="E2476" t="s">
        <v>134</v>
      </c>
      <c r="F2476" t="s">
        <v>5300</v>
      </c>
      <c r="G2476" t="str">
        <f>"00142591"</f>
        <v>00142591</v>
      </c>
      <c r="H2476">
        <v>32.72</v>
      </c>
      <c r="I2476">
        <v>0</v>
      </c>
      <c r="L2476">
        <v>4</v>
      </c>
      <c r="M2476">
        <v>4</v>
      </c>
      <c r="N2476">
        <v>4</v>
      </c>
      <c r="O2476">
        <v>0</v>
      </c>
      <c r="P2476">
        <v>40.72</v>
      </c>
      <c r="Q2476">
        <v>0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0</v>
      </c>
      <c r="Z2476">
        <v>6</v>
      </c>
      <c r="AA2476">
        <v>0</v>
      </c>
      <c r="AC2476">
        <v>46.72</v>
      </c>
    </row>
    <row r="2477" spans="1:29">
      <c r="A2477">
        <v>2470</v>
      </c>
      <c r="B2477">
        <v>575</v>
      </c>
      <c r="C2477" t="s">
        <v>2642</v>
      </c>
      <c r="D2477" t="s">
        <v>394</v>
      </c>
      <c r="E2477" t="s">
        <v>237</v>
      </c>
      <c r="F2477" t="s">
        <v>5301</v>
      </c>
      <c r="G2477" t="str">
        <f>"00511986"</f>
        <v>00511986</v>
      </c>
      <c r="H2477">
        <v>15.72</v>
      </c>
      <c r="I2477">
        <v>0</v>
      </c>
      <c r="M2477">
        <v>0</v>
      </c>
      <c r="N2477">
        <v>0</v>
      </c>
      <c r="O2477">
        <v>0</v>
      </c>
      <c r="P2477">
        <v>15.72</v>
      </c>
      <c r="Q2477">
        <v>25</v>
      </c>
      <c r="R2477">
        <v>25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25</v>
      </c>
      <c r="Z2477">
        <v>6</v>
      </c>
      <c r="AA2477">
        <v>0</v>
      </c>
      <c r="AC2477">
        <v>46.72</v>
      </c>
    </row>
    <row r="2478" spans="1:29">
      <c r="A2478">
        <v>2471</v>
      </c>
      <c r="B2478">
        <v>4252</v>
      </c>
      <c r="C2478" t="s">
        <v>5302</v>
      </c>
      <c r="D2478" t="s">
        <v>5303</v>
      </c>
      <c r="E2478" t="s">
        <v>156</v>
      </c>
      <c r="F2478" t="s">
        <v>5304</v>
      </c>
      <c r="G2478" t="str">
        <f>"00861483"</f>
        <v>00861483</v>
      </c>
      <c r="H2478">
        <v>31.68</v>
      </c>
      <c r="I2478">
        <v>0</v>
      </c>
      <c r="M2478">
        <v>0</v>
      </c>
      <c r="N2478">
        <v>0</v>
      </c>
      <c r="O2478">
        <v>0</v>
      </c>
      <c r="P2478">
        <v>31.68</v>
      </c>
      <c r="Q2478">
        <v>0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0</v>
      </c>
      <c r="Z2478">
        <v>15</v>
      </c>
      <c r="AA2478">
        <v>0</v>
      </c>
      <c r="AC2478">
        <v>46.68</v>
      </c>
    </row>
    <row r="2479" spans="1:29">
      <c r="A2479">
        <v>2472</v>
      </c>
      <c r="B2479">
        <v>3606</v>
      </c>
      <c r="C2479" t="s">
        <v>5305</v>
      </c>
      <c r="D2479" t="s">
        <v>557</v>
      </c>
      <c r="E2479" t="s">
        <v>15</v>
      </c>
      <c r="F2479" t="s">
        <v>5306</v>
      </c>
      <c r="G2479" t="str">
        <f>"00699351"</f>
        <v>00699351</v>
      </c>
      <c r="H2479">
        <v>34.68</v>
      </c>
      <c r="I2479">
        <v>0</v>
      </c>
      <c r="M2479">
        <v>0</v>
      </c>
      <c r="N2479">
        <v>0</v>
      </c>
      <c r="O2479">
        <v>0</v>
      </c>
      <c r="P2479">
        <v>34.68</v>
      </c>
      <c r="Q2479">
        <v>0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0</v>
      </c>
      <c r="Z2479">
        <v>12</v>
      </c>
      <c r="AA2479">
        <v>0</v>
      </c>
      <c r="AC2479">
        <v>46.68</v>
      </c>
    </row>
    <row r="2480" spans="1:29">
      <c r="A2480">
        <v>2473</v>
      </c>
      <c r="B2480">
        <v>2207</v>
      </c>
      <c r="C2480" t="s">
        <v>5307</v>
      </c>
      <c r="D2480" t="s">
        <v>276</v>
      </c>
      <c r="E2480" t="s">
        <v>647</v>
      </c>
      <c r="F2480" t="s">
        <v>5308</v>
      </c>
      <c r="G2480" t="str">
        <f>"00865029"</f>
        <v>00865029</v>
      </c>
      <c r="H2480">
        <v>21.6</v>
      </c>
      <c r="I2480">
        <v>0</v>
      </c>
      <c r="J2480">
        <v>8</v>
      </c>
      <c r="M2480">
        <v>8</v>
      </c>
      <c r="N2480">
        <v>0</v>
      </c>
      <c r="O2480">
        <v>2</v>
      </c>
      <c r="P2480">
        <v>31.6</v>
      </c>
      <c r="Q2480">
        <v>0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0</v>
      </c>
      <c r="Z2480">
        <v>15</v>
      </c>
      <c r="AA2480">
        <v>0</v>
      </c>
      <c r="AC2480">
        <v>46.6</v>
      </c>
    </row>
    <row r="2481" spans="1:29">
      <c r="A2481">
        <v>2474</v>
      </c>
      <c r="B2481">
        <v>3540</v>
      </c>
      <c r="C2481" t="s">
        <v>5309</v>
      </c>
      <c r="D2481" t="s">
        <v>336</v>
      </c>
      <c r="E2481" t="s">
        <v>36</v>
      </c>
      <c r="F2481" t="s">
        <v>5310</v>
      </c>
      <c r="G2481" t="str">
        <f>"00359815"</f>
        <v>00359815</v>
      </c>
      <c r="H2481">
        <v>39.6</v>
      </c>
      <c r="I2481">
        <v>0</v>
      </c>
      <c r="L2481">
        <v>4</v>
      </c>
      <c r="M2481">
        <v>4</v>
      </c>
      <c r="N2481">
        <v>0</v>
      </c>
      <c r="O2481">
        <v>0</v>
      </c>
      <c r="P2481">
        <v>43.6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v>3</v>
      </c>
      <c r="AA2481">
        <v>0</v>
      </c>
      <c r="AC2481">
        <v>46.6</v>
      </c>
    </row>
    <row r="2482" spans="1:29">
      <c r="A2482">
        <v>2475</v>
      </c>
      <c r="B2482">
        <v>2853</v>
      </c>
      <c r="C2482" t="s">
        <v>5311</v>
      </c>
      <c r="D2482" t="s">
        <v>1318</v>
      </c>
      <c r="E2482" t="s">
        <v>647</v>
      </c>
      <c r="F2482" t="s">
        <v>5312</v>
      </c>
      <c r="G2482" t="str">
        <f>"00531052"</f>
        <v>00531052</v>
      </c>
      <c r="H2482">
        <v>21.6</v>
      </c>
      <c r="I2482">
        <v>10</v>
      </c>
      <c r="M2482">
        <v>0</v>
      </c>
      <c r="N2482">
        <v>4</v>
      </c>
      <c r="O2482">
        <v>0</v>
      </c>
      <c r="P2482">
        <v>35.6</v>
      </c>
      <c r="Q2482">
        <v>11</v>
      </c>
      <c r="R2482">
        <v>11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11</v>
      </c>
      <c r="Z2482">
        <v>0</v>
      </c>
      <c r="AA2482">
        <v>0</v>
      </c>
      <c r="AC2482">
        <v>46.6</v>
      </c>
    </row>
    <row r="2483" spans="1:29">
      <c r="A2483">
        <v>2476</v>
      </c>
      <c r="B2483">
        <v>1820</v>
      </c>
      <c r="C2483" t="s">
        <v>391</v>
      </c>
      <c r="D2483" t="s">
        <v>52</v>
      </c>
      <c r="E2483" t="s">
        <v>36</v>
      </c>
      <c r="F2483" t="s">
        <v>5313</v>
      </c>
      <c r="G2483" t="str">
        <f>"00860711"</f>
        <v>00860711</v>
      </c>
      <c r="H2483">
        <v>21.6</v>
      </c>
      <c r="I2483">
        <v>0</v>
      </c>
      <c r="M2483">
        <v>0</v>
      </c>
      <c r="N2483">
        <v>4</v>
      </c>
      <c r="O2483">
        <v>0</v>
      </c>
      <c r="P2483">
        <v>25.6</v>
      </c>
      <c r="Q2483">
        <v>21</v>
      </c>
      <c r="R2483">
        <v>21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21</v>
      </c>
      <c r="Z2483">
        <v>0</v>
      </c>
      <c r="AA2483">
        <v>0</v>
      </c>
      <c r="AC2483">
        <v>46.6</v>
      </c>
    </row>
    <row r="2484" spans="1:29">
      <c r="A2484">
        <v>2477</v>
      </c>
      <c r="B2484">
        <v>1627</v>
      </c>
      <c r="C2484" t="s">
        <v>5314</v>
      </c>
      <c r="D2484" t="s">
        <v>5315</v>
      </c>
      <c r="E2484" t="s">
        <v>79</v>
      </c>
      <c r="F2484" t="s">
        <v>5316</v>
      </c>
      <c r="G2484" t="str">
        <f>"201511006786"</f>
        <v>201511006786</v>
      </c>
      <c r="H2484">
        <v>22.56</v>
      </c>
      <c r="I2484">
        <v>0</v>
      </c>
      <c r="M2484">
        <v>0</v>
      </c>
      <c r="N2484">
        <v>4</v>
      </c>
      <c r="O2484">
        <v>0</v>
      </c>
      <c r="P2484">
        <v>26.56</v>
      </c>
      <c r="Q2484">
        <v>20</v>
      </c>
      <c r="R2484">
        <v>20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20</v>
      </c>
      <c r="Z2484">
        <v>0</v>
      </c>
      <c r="AA2484">
        <v>0</v>
      </c>
      <c r="AC2484">
        <v>46.56</v>
      </c>
    </row>
    <row r="2485" spans="1:29">
      <c r="A2485">
        <v>2478</v>
      </c>
      <c r="B2485">
        <v>4183</v>
      </c>
      <c r="C2485" t="s">
        <v>5317</v>
      </c>
      <c r="D2485" t="s">
        <v>31</v>
      </c>
      <c r="E2485" t="s">
        <v>99</v>
      </c>
      <c r="F2485" t="s">
        <v>5318</v>
      </c>
      <c r="G2485" t="str">
        <f>"201511021384"</f>
        <v>201511021384</v>
      </c>
      <c r="H2485">
        <v>36.4</v>
      </c>
      <c r="I2485">
        <v>0</v>
      </c>
      <c r="M2485">
        <v>0</v>
      </c>
      <c r="N2485">
        <v>4</v>
      </c>
      <c r="O2485">
        <v>0</v>
      </c>
      <c r="P2485">
        <v>40.4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0</v>
      </c>
      <c r="Z2485">
        <v>6</v>
      </c>
      <c r="AA2485">
        <v>0</v>
      </c>
      <c r="AC2485">
        <v>46.4</v>
      </c>
    </row>
    <row r="2486" spans="1:29">
      <c r="A2486">
        <v>2479</v>
      </c>
      <c r="B2486">
        <v>4805</v>
      </c>
      <c r="C2486" t="s">
        <v>260</v>
      </c>
      <c r="D2486" t="s">
        <v>147</v>
      </c>
      <c r="E2486" t="s">
        <v>66</v>
      </c>
      <c r="F2486" t="s">
        <v>5319</v>
      </c>
      <c r="G2486" t="str">
        <f>"00518496"</f>
        <v>00518496</v>
      </c>
      <c r="H2486">
        <v>34.4</v>
      </c>
      <c r="I2486">
        <v>0</v>
      </c>
      <c r="M2486">
        <v>0</v>
      </c>
      <c r="N2486">
        <v>4</v>
      </c>
      <c r="O2486">
        <v>2</v>
      </c>
      <c r="P2486">
        <v>40.4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0</v>
      </c>
      <c r="Z2486">
        <v>6</v>
      </c>
      <c r="AA2486">
        <v>0</v>
      </c>
      <c r="AC2486">
        <v>46.4</v>
      </c>
    </row>
    <row r="2487" spans="1:29">
      <c r="A2487">
        <v>2480</v>
      </c>
      <c r="B2487">
        <v>3147</v>
      </c>
      <c r="C2487" t="s">
        <v>5320</v>
      </c>
      <c r="D2487" t="s">
        <v>52</v>
      </c>
      <c r="E2487" t="s">
        <v>18</v>
      </c>
      <c r="F2487" t="s">
        <v>5321</v>
      </c>
      <c r="G2487" t="str">
        <f>"00183660"</f>
        <v>00183660</v>
      </c>
      <c r="H2487">
        <v>28.4</v>
      </c>
      <c r="I2487">
        <v>0</v>
      </c>
      <c r="J2487">
        <v>8</v>
      </c>
      <c r="M2487">
        <v>8</v>
      </c>
      <c r="N2487">
        <v>4</v>
      </c>
      <c r="O2487">
        <v>0</v>
      </c>
      <c r="P2487">
        <v>40.4</v>
      </c>
      <c r="Q2487">
        <v>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0</v>
      </c>
      <c r="Z2487">
        <v>6</v>
      </c>
      <c r="AA2487">
        <v>0</v>
      </c>
      <c r="AC2487">
        <v>46.4</v>
      </c>
    </row>
    <row r="2488" spans="1:29">
      <c r="A2488">
        <v>2481</v>
      </c>
      <c r="B2488">
        <v>2183</v>
      </c>
      <c r="C2488" t="s">
        <v>5322</v>
      </c>
      <c r="D2488" t="s">
        <v>164</v>
      </c>
      <c r="E2488" t="s">
        <v>15</v>
      </c>
      <c r="F2488" t="s">
        <v>5323</v>
      </c>
      <c r="G2488" t="str">
        <f>"00533979"</f>
        <v>00533979</v>
      </c>
      <c r="H2488">
        <v>26.4</v>
      </c>
      <c r="I2488">
        <v>0</v>
      </c>
      <c r="M2488">
        <v>0</v>
      </c>
      <c r="N2488">
        <v>4</v>
      </c>
      <c r="O2488">
        <v>2</v>
      </c>
      <c r="P2488">
        <v>32.4</v>
      </c>
      <c r="Q2488">
        <v>8</v>
      </c>
      <c r="R2488">
        <v>8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0</v>
      </c>
      <c r="Y2488">
        <v>8</v>
      </c>
      <c r="Z2488">
        <v>6</v>
      </c>
      <c r="AA2488">
        <v>0</v>
      </c>
      <c r="AC2488">
        <v>46.4</v>
      </c>
    </row>
    <row r="2489" spans="1:29">
      <c r="A2489">
        <v>2482</v>
      </c>
      <c r="B2489">
        <v>345</v>
      </c>
      <c r="C2489" t="s">
        <v>5324</v>
      </c>
      <c r="D2489" t="s">
        <v>27</v>
      </c>
      <c r="E2489" t="s">
        <v>115</v>
      </c>
      <c r="F2489" t="s">
        <v>5325</v>
      </c>
      <c r="G2489" t="str">
        <f>"00761467"</f>
        <v>00761467</v>
      </c>
      <c r="H2489">
        <v>34.4</v>
      </c>
      <c r="I2489">
        <v>10</v>
      </c>
      <c r="M2489">
        <v>0</v>
      </c>
      <c r="N2489">
        <v>0</v>
      </c>
      <c r="O2489">
        <v>2</v>
      </c>
      <c r="P2489">
        <v>46.4</v>
      </c>
      <c r="Q2489">
        <v>0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  <c r="AA2489">
        <v>0</v>
      </c>
      <c r="AC2489">
        <v>46.4</v>
      </c>
    </row>
    <row r="2490" spans="1:29">
      <c r="A2490">
        <v>2483</v>
      </c>
      <c r="B2490">
        <v>580</v>
      </c>
      <c r="C2490" t="s">
        <v>5326</v>
      </c>
      <c r="D2490" t="s">
        <v>27</v>
      </c>
      <c r="E2490" t="s">
        <v>50</v>
      </c>
      <c r="F2490" t="s">
        <v>5327</v>
      </c>
      <c r="G2490" t="str">
        <f>"00150530"</f>
        <v>00150530</v>
      </c>
      <c r="H2490">
        <v>14.4</v>
      </c>
      <c r="I2490">
        <v>10</v>
      </c>
      <c r="M2490">
        <v>0</v>
      </c>
      <c r="N2490">
        <v>4</v>
      </c>
      <c r="O2490">
        <v>2</v>
      </c>
      <c r="P2490">
        <v>30.4</v>
      </c>
      <c r="Q2490">
        <v>16</v>
      </c>
      <c r="R2490">
        <v>16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16</v>
      </c>
      <c r="Z2490">
        <v>0</v>
      </c>
      <c r="AA2490">
        <v>0</v>
      </c>
      <c r="AC2490">
        <v>46.4</v>
      </c>
    </row>
    <row r="2491" spans="1:29">
      <c r="A2491">
        <v>2484</v>
      </c>
      <c r="B2491">
        <v>707</v>
      </c>
      <c r="C2491" t="s">
        <v>5153</v>
      </c>
      <c r="D2491" t="s">
        <v>95</v>
      </c>
      <c r="E2491" t="s">
        <v>18</v>
      </c>
      <c r="F2491" t="s">
        <v>5328</v>
      </c>
      <c r="G2491" t="str">
        <f>"00557253"</f>
        <v>00557253</v>
      </c>
      <c r="H2491">
        <v>37.32</v>
      </c>
      <c r="I2491">
        <v>0</v>
      </c>
      <c r="M2491">
        <v>0</v>
      </c>
      <c r="N2491">
        <v>0</v>
      </c>
      <c r="O2491">
        <v>0</v>
      </c>
      <c r="P2491">
        <v>37.32</v>
      </c>
      <c r="Q2491">
        <v>0</v>
      </c>
      <c r="R2491">
        <v>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0</v>
      </c>
      <c r="Z2491">
        <v>9</v>
      </c>
      <c r="AA2491">
        <v>0</v>
      </c>
      <c r="AC2491">
        <v>46.32</v>
      </c>
    </row>
    <row r="2492" spans="1:29">
      <c r="A2492">
        <v>2485</v>
      </c>
      <c r="B2492">
        <v>3313</v>
      </c>
      <c r="C2492" t="s">
        <v>5329</v>
      </c>
      <c r="D2492" t="s">
        <v>130</v>
      </c>
      <c r="E2492" t="s">
        <v>5330</v>
      </c>
      <c r="F2492" t="s">
        <v>5331</v>
      </c>
      <c r="G2492" t="str">
        <f>"00526959"</f>
        <v>00526959</v>
      </c>
      <c r="H2492">
        <v>33.32</v>
      </c>
      <c r="I2492">
        <v>0</v>
      </c>
      <c r="M2492">
        <v>0</v>
      </c>
      <c r="N2492">
        <v>4</v>
      </c>
      <c r="O2492">
        <v>0</v>
      </c>
      <c r="P2492">
        <v>37.32</v>
      </c>
      <c r="Q2492">
        <v>0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9</v>
      </c>
      <c r="AA2492">
        <v>0</v>
      </c>
      <c r="AC2492">
        <v>46.32</v>
      </c>
    </row>
    <row r="2493" spans="1:29">
      <c r="A2493">
        <v>2486</v>
      </c>
      <c r="B2493">
        <v>3560</v>
      </c>
      <c r="C2493" t="s">
        <v>5332</v>
      </c>
      <c r="D2493" t="s">
        <v>5333</v>
      </c>
      <c r="E2493" t="s">
        <v>5334</v>
      </c>
      <c r="F2493" t="s">
        <v>5335</v>
      </c>
      <c r="G2493" t="str">
        <f>"00513392"</f>
        <v>00513392</v>
      </c>
      <c r="H2493">
        <v>22.28</v>
      </c>
      <c r="I2493">
        <v>0</v>
      </c>
      <c r="M2493">
        <v>0</v>
      </c>
      <c r="N2493">
        <v>0</v>
      </c>
      <c r="O2493">
        <v>0</v>
      </c>
      <c r="P2493">
        <v>22.28</v>
      </c>
      <c r="Q2493">
        <v>18</v>
      </c>
      <c r="R2493">
        <v>18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18</v>
      </c>
      <c r="Z2493">
        <v>6</v>
      </c>
      <c r="AA2493">
        <v>0</v>
      </c>
      <c r="AC2493">
        <v>46.28</v>
      </c>
    </row>
    <row r="2494" spans="1:29">
      <c r="A2494">
        <v>2487</v>
      </c>
      <c r="B2494">
        <v>783</v>
      </c>
      <c r="C2494" t="s">
        <v>5336</v>
      </c>
      <c r="D2494" t="s">
        <v>17</v>
      </c>
      <c r="E2494" t="s">
        <v>296</v>
      </c>
      <c r="F2494" t="s">
        <v>5337</v>
      </c>
      <c r="G2494" t="str">
        <f>"00842521"</f>
        <v>00842521</v>
      </c>
      <c r="H2494">
        <v>30.24</v>
      </c>
      <c r="I2494">
        <v>0</v>
      </c>
      <c r="M2494">
        <v>0</v>
      </c>
      <c r="N2494">
        <v>4</v>
      </c>
      <c r="O2494">
        <v>0</v>
      </c>
      <c r="P2494">
        <v>34.24</v>
      </c>
      <c r="Q2494">
        <v>6</v>
      </c>
      <c r="R2494">
        <v>6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6</v>
      </c>
      <c r="Z2494">
        <v>6</v>
      </c>
      <c r="AA2494">
        <v>0</v>
      </c>
      <c r="AC2494">
        <v>46.24</v>
      </c>
    </row>
    <row r="2495" spans="1:29">
      <c r="A2495">
        <v>2488</v>
      </c>
      <c r="B2495">
        <v>3890</v>
      </c>
      <c r="C2495" t="s">
        <v>4388</v>
      </c>
      <c r="D2495" t="s">
        <v>258</v>
      </c>
      <c r="E2495" t="s">
        <v>2480</v>
      </c>
      <c r="F2495" t="s">
        <v>5338</v>
      </c>
      <c r="G2495" t="str">
        <f>"00681478"</f>
        <v>00681478</v>
      </c>
      <c r="H2495">
        <v>7.2</v>
      </c>
      <c r="I2495">
        <v>0</v>
      </c>
      <c r="M2495">
        <v>0</v>
      </c>
      <c r="N2495">
        <v>4</v>
      </c>
      <c r="O2495">
        <v>2</v>
      </c>
      <c r="P2495">
        <v>13.2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3</v>
      </c>
      <c r="AA2495">
        <v>30</v>
      </c>
      <c r="AC2495">
        <v>46.2</v>
      </c>
    </row>
    <row r="2496" spans="1:29">
      <c r="A2496">
        <v>2489</v>
      </c>
      <c r="B2496">
        <v>3462</v>
      </c>
      <c r="C2496" t="s">
        <v>1747</v>
      </c>
      <c r="D2496" t="s">
        <v>27</v>
      </c>
      <c r="E2496" t="s">
        <v>15</v>
      </c>
      <c r="F2496" t="s">
        <v>5339</v>
      </c>
      <c r="G2496" t="str">
        <f>"00555128"</f>
        <v>00555128</v>
      </c>
      <c r="H2496">
        <v>37.200000000000003</v>
      </c>
      <c r="I2496">
        <v>0</v>
      </c>
      <c r="M2496">
        <v>0</v>
      </c>
      <c r="N2496">
        <v>0</v>
      </c>
      <c r="O2496">
        <v>0</v>
      </c>
      <c r="P2496">
        <v>37.200000000000003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v>9</v>
      </c>
      <c r="AA2496">
        <v>0</v>
      </c>
      <c r="AC2496">
        <v>46.2</v>
      </c>
    </row>
    <row r="2497" spans="1:29">
      <c r="A2497">
        <v>2490</v>
      </c>
      <c r="B2497">
        <v>1800</v>
      </c>
      <c r="C2497" t="s">
        <v>5340</v>
      </c>
      <c r="D2497" t="s">
        <v>5341</v>
      </c>
      <c r="E2497" t="s">
        <v>156</v>
      </c>
      <c r="F2497" t="s">
        <v>5342</v>
      </c>
      <c r="G2497" t="str">
        <f>"201511036152"</f>
        <v>201511036152</v>
      </c>
      <c r="H2497">
        <v>29.2</v>
      </c>
      <c r="I2497">
        <v>0</v>
      </c>
      <c r="L2497">
        <v>4</v>
      </c>
      <c r="M2497">
        <v>4</v>
      </c>
      <c r="N2497">
        <v>4</v>
      </c>
      <c r="O2497">
        <v>0</v>
      </c>
      <c r="P2497">
        <v>37.200000000000003</v>
      </c>
      <c r="Q2497">
        <v>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0</v>
      </c>
      <c r="Z2497">
        <v>9</v>
      </c>
      <c r="AA2497">
        <v>0</v>
      </c>
      <c r="AC2497">
        <v>46.2</v>
      </c>
    </row>
    <row r="2498" spans="1:29">
      <c r="A2498">
        <v>2491</v>
      </c>
      <c r="B2498">
        <v>2972</v>
      </c>
      <c r="C2498" t="s">
        <v>2702</v>
      </c>
      <c r="D2498" t="s">
        <v>962</v>
      </c>
      <c r="E2498" t="s">
        <v>79</v>
      </c>
      <c r="F2498" t="s">
        <v>5343</v>
      </c>
      <c r="G2498" t="str">
        <f>"201511008805"</f>
        <v>201511008805</v>
      </c>
      <c r="H2498">
        <v>14.2</v>
      </c>
      <c r="I2498">
        <v>10</v>
      </c>
      <c r="M2498">
        <v>0</v>
      </c>
      <c r="N2498">
        <v>0</v>
      </c>
      <c r="O2498">
        <v>2</v>
      </c>
      <c r="P2498">
        <v>26.2</v>
      </c>
      <c r="Q2498">
        <v>14</v>
      </c>
      <c r="R2498">
        <v>14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14</v>
      </c>
      <c r="Z2498">
        <v>6</v>
      </c>
      <c r="AA2498">
        <v>0</v>
      </c>
      <c r="AC2498">
        <v>46.2</v>
      </c>
    </row>
    <row r="2499" spans="1:29">
      <c r="A2499">
        <v>2492</v>
      </c>
      <c r="B2499">
        <v>2920</v>
      </c>
      <c r="C2499" t="s">
        <v>5344</v>
      </c>
      <c r="D2499" t="s">
        <v>24</v>
      </c>
      <c r="E2499" t="s">
        <v>322</v>
      </c>
      <c r="F2499" t="s">
        <v>5345</v>
      </c>
      <c r="G2499" t="str">
        <f>"00693261"</f>
        <v>00693261</v>
      </c>
      <c r="H2499">
        <v>37.159999999999997</v>
      </c>
      <c r="I2499">
        <v>0</v>
      </c>
      <c r="M2499">
        <v>0</v>
      </c>
      <c r="N2499">
        <v>0</v>
      </c>
      <c r="O2499">
        <v>0</v>
      </c>
      <c r="P2499">
        <v>37.159999999999997</v>
      </c>
      <c r="Q2499">
        <v>0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0</v>
      </c>
      <c r="Z2499">
        <v>9</v>
      </c>
      <c r="AA2499">
        <v>0</v>
      </c>
      <c r="AC2499">
        <v>46.16</v>
      </c>
    </row>
    <row r="2500" spans="1:29">
      <c r="A2500">
        <v>2493</v>
      </c>
      <c r="B2500">
        <v>3738</v>
      </c>
      <c r="C2500" t="s">
        <v>5346</v>
      </c>
      <c r="D2500" t="s">
        <v>3193</v>
      </c>
      <c r="E2500" t="s">
        <v>682</v>
      </c>
      <c r="F2500" t="s">
        <v>5347</v>
      </c>
      <c r="G2500" t="str">
        <f>"00332249"</f>
        <v>00332249</v>
      </c>
      <c r="H2500">
        <v>37.159999999999997</v>
      </c>
      <c r="I2500">
        <v>0</v>
      </c>
      <c r="M2500">
        <v>0</v>
      </c>
      <c r="N2500">
        <v>4</v>
      </c>
      <c r="O2500">
        <v>2</v>
      </c>
      <c r="P2500">
        <v>43.16</v>
      </c>
      <c r="Q2500">
        <v>0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3</v>
      </c>
      <c r="AA2500">
        <v>0</v>
      </c>
      <c r="AC2500">
        <v>46.16</v>
      </c>
    </row>
    <row r="2501" spans="1:29">
      <c r="A2501">
        <v>2494</v>
      </c>
      <c r="B2501">
        <v>3901</v>
      </c>
      <c r="C2501" t="s">
        <v>5348</v>
      </c>
      <c r="D2501" t="s">
        <v>170</v>
      </c>
      <c r="E2501" t="s">
        <v>15</v>
      </c>
      <c r="F2501" t="s">
        <v>5349</v>
      </c>
      <c r="G2501" t="str">
        <f>"00555157"</f>
        <v>00555157</v>
      </c>
      <c r="H2501">
        <v>38.159999999999997</v>
      </c>
      <c r="I2501">
        <v>0</v>
      </c>
      <c r="L2501">
        <v>4</v>
      </c>
      <c r="M2501">
        <v>4</v>
      </c>
      <c r="N2501">
        <v>4</v>
      </c>
      <c r="O2501">
        <v>0</v>
      </c>
      <c r="P2501">
        <v>46.16</v>
      </c>
      <c r="Q2501">
        <v>0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0</v>
      </c>
      <c r="AA2501">
        <v>0</v>
      </c>
      <c r="AC2501">
        <v>46.16</v>
      </c>
    </row>
    <row r="2502" spans="1:29">
      <c r="A2502">
        <v>2495</v>
      </c>
      <c r="B2502">
        <v>4505</v>
      </c>
      <c r="C2502" t="s">
        <v>5350</v>
      </c>
      <c r="D2502" t="s">
        <v>5351</v>
      </c>
      <c r="E2502" t="s">
        <v>18</v>
      </c>
      <c r="F2502" t="s">
        <v>5352</v>
      </c>
      <c r="G2502" t="str">
        <f>"00010889"</f>
        <v>00010889</v>
      </c>
      <c r="H2502">
        <v>30.12</v>
      </c>
      <c r="I2502">
        <v>0</v>
      </c>
      <c r="L2502">
        <v>4</v>
      </c>
      <c r="M2502">
        <v>4</v>
      </c>
      <c r="N2502">
        <v>4</v>
      </c>
      <c r="O2502">
        <v>2</v>
      </c>
      <c r="P2502">
        <v>40.119999999999997</v>
      </c>
      <c r="Q2502">
        <v>0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0</v>
      </c>
      <c r="Z2502">
        <v>6</v>
      </c>
      <c r="AA2502">
        <v>0</v>
      </c>
      <c r="AC2502">
        <v>46.12</v>
      </c>
    </row>
    <row r="2503" spans="1:29">
      <c r="A2503">
        <v>2496</v>
      </c>
      <c r="B2503">
        <v>4271</v>
      </c>
      <c r="C2503" t="s">
        <v>5354</v>
      </c>
      <c r="D2503" t="s">
        <v>52</v>
      </c>
      <c r="E2503" t="s">
        <v>15</v>
      </c>
      <c r="F2503" t="s">
        <v>5355</v>
      </c>
      <c r="G2503" t="str">
        <f>"00408825"</f>
        <v>00408825</v>
      </c>
      <c r="H2503">
        <v>40</v>
      </c>
      <c r="I2503">
        <v>0</v>
      </c>
      <c r="M2503">
        <v>0</v>
      </c>
      <c r="N2503">
        <v>0</v>
      </c>
      <c r="O2503">
        <v>0</v>
      </c>
      <c r="P2503">
        <v>40</v>
      </c>
      <c r="Q2503">
        <v>0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v>6</v>
      </c>
      <c r="AA2503">
        <v>0</v>
      </c>
      <c r="AC2503">
        <v>46</v>
      </c>
    </row>
    <row r="2504" spans="1:29">
      <c r="A2504">
        <v>2497</v>
      </c>
      <c r="B2504">
        <v>4100</v>
      </c>
      <c r="C2504" t="s">
        <v>1890</v>
      </c>
      <c r="D2504" t="s">
        <v>465</v>
      </c>
      <c r="E2504" t="s">
        <v>15</v>
      </c>
      <c r="F2504" t="s">
        <v>5353</v>
      </c>
      <c r="G2504" t="str">
        <f>"00863838"</f>
        <v>00863838</v>
      </c>
      <c r="H2504">
        <v>40</v>
      </c>
      <c r="I2504">
        <v>0</v>
      </c>
      <c r="M2504">
        <v>0</v>
      </c>
      <c r="N2504">
        <v>0</v>
      </c>
      <c r="O2504">
        <v>0</v>
      </c>
      <c r="P2504">
        <v>40</v>
      </c>
      <c r="Q2504">
        <v>0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0</v>
      </c>
      <c r="Z2504">
        <v>6</v>
      </c>
      <c r="AA2504">
        <v>0</v>
      </c>
      <c r="AC2504">
        <v>46</v>
      </c>
    </row>
    <row r="2505" spans="1:29">
      <c r="A2505">
        <v>2498</v>
      </c>
      <c r="B2505">
        <v>3173</v>
      </c>
      <c r="C2505" t="s">
        <v>5356</v>
      </c>
      <c r="D2505" t="s">
        <v>27</v>
      </c>
      <c r="E2505" t="s">
        <v>134</v>
      </c>
      <c r="F2505" t="s">
        <v>5357</v>
      </c>
      <c r="G2505" t="str">
        <f>"00395456"</f>
        <v>00395456</v>
      </c>
      <c r="H2505">
        <v>38</v>
      </c>
      <c r="I2505">
        <v>0</v>
      </c>
      <c r="M2505">
        <v>0</v>
      </c>
      <c r="N2505">
        <v>0</v>
      </c>
      <c r="O2505">
        <v>2</v>
      </c>
      <c r="P2505">
        <v>40</v>
      </c>
      <c r="Q2505">
        <v>0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v>6</v>
      </c>
      <c r="AA2505">
        <v>0</v>
      </c>
      <c r="AC2505">
        <v>46</v>
      </c>
    </row>
    <row r="2506" spans="1:29">
      <c r="A2506">
        <v>2499</v>
      </c>
      <c r="B2506">
        <v>230</v>
      </c>
      <c r="C2506" t="s">
        <v>5359</v>
      </c>
      <c r="D2506" t="s">
        <v>27</v>
      </c>
      <c r="E2506" t="s">
        <v>1159</v>
      </c>
      <c r="F2506" t="s">
        <v>5360</v>
      </c>
      <c r="G2506" t="str">
        <f>"00386159"</f>
        <v>00386159</v>
      </c>
      <c r="H2506">
        <v>36</v>
      </c>
      <c r="I2506">
        <v>0</v>
      </c>
      <c r="M2506">
        <v>0</v>
      </c>
      <c r="N2506">
        <v>4</v>
      </c>
      <c r="O2506">
        <v>0</v>
      </c>
      <c r="P2506">
        <v>40</v>
      </c>
      <c r="Q2506">
        <v>0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0</v>
      </c>
      <c r="Z2506">
        <v>6</v>
      </c>
      <c r="AA2506">
        <v>0</v>
      </c>
      <c r="AC2506">
        <v>46</v>
      </c>
    </row>
    <row r="2507" spans="1:29">
      <c r="A2507">
        <v>2500</v>
      </c>
      <c r="B2507">
        <v>4467</v>
      </c>
      <c r="C2507" t="s">
        <v>5361</v>
      </c>
      <c r="D2507" t="s">
        <v>5362</v>
      </c>
      <c r="E2507" t="s">
        <v>18</v>
      </c>
      <c r="F2507" t="s">
        <v>5363</v>
      </c>
      <c r="G2507" t="str">
        <f>"00864167"</f>
        <v>00864167</v>
      </c>
      <c r="H2507">
        <v>36</v>
      </c>
      <c r="I2507">
        <v>0</v>
      </c>
      <c r="M2507">
        <v>0</v>
      </c>
      <c r="N2507">
        <v>4</v>
      </c>
      <c r="O2507">
        <v>0</v>
      </c>
      <c r="P2507">
        <v>40</v>
      </c>
      <c r="Q2507">
        <v>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0</v>
      </c>
      <c r="Z2507">
        <v>6</v>
      </c>
      <c r="AA2507">
        <v>0</v>
      </c>
      <c r="AC2507">
        <v>46</v>
      </c>
    </row>
    <row r="2508" spans="1:29">
      <c r="A2508">
        <v>2501</v>
      </c>
      <c r="B2508">
        <v>4536</v>
      </c>
      <c r="C2508" t="s">
        <v>5364</v>
      </c>
      <c r="D2508" t="s">
        <v>5365</v>
      </c>
      <c r="E2508" t="s">
        <v>66</v>
      </c>
      <c r="F2508" t="s">
        <v>5366</v>
      </c>
      <c r="G2508" t="str">
        <f>"00280518"</f>
        <v>00280518</v>
      </c>
      <c r="H2508">
        <v>36</v>
      </c>
      <c r="I2508">
        <v>0</v>
      </c>
      <c r="M2508">
        <v>0</v>
      </c>
      <c r="N2508">
        <v>4</v>
      </c>
      <c r="O2508">
        <v>0</v>
      </c>
      <c r="P2508">
        <v>40</v>
      </c>
      <c r="Q2508">
        <v>0</v>
      </c>
      <c r="R2508">
        <v>0</v>
      </c>
      <c r="S2508">
        <v>0</v>
      </c>
      <c r="T2508">
        <v>0</v>
      </c>
      <c r="U2508">
        <v>0</v>
      </c>
      <c r="V2508">
        <v>0</v>
      </c>
      <c r="W2508">
        <v>0</v>
      </c>
      <c r="X2508">
        <v>0</v>
      </c>
      <c r="Y2508">
        <v>0</v>
      </c>
      <c r="Z2508">
        <v>6</v>
      </c>
      <c r="AA2508">
        <v>0</v>
      </c>
      <c r="AC2508">
        <v>46</v>
      </c>
    </row>
    <row r="2509" spans="1:29">
      <c r="A2509">
        <v>2502</v>
      </c>
      <c r="B2509">
        <v>4412</v>
      </c>
      <c r="C2509" t="s">
        <v>571</v>
      </c>
      <c r="D2509" t="s">
        <v>784</v>
      </c>
      <c r="E2509" t="s">
        <v>115</v>
      </c>
      <c r="F2509" t="s">
        <v>5358</v>
      </c>
      <c r="G2509" t="str">
        <f>"00863298"</f>
        <v>00863298</v>
      </c>
      <c r="H2509">
        <v>36</v>
      </c>
      <c r="I2509">
        <v>0</v>
      </c>
      <c r="M2509">
        <v>0</v>
      </c>
      <c r="N2509">
        <v>4</v>
      </c>
      <c r="O2509">
        <v>0</v>
      </c>
      <c r="P2509">
        <v>40</v>
      </c>
      <c r="Q2509">
        <v>0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0</v>
      </c>
      <c r="Z2509">
        <v>6</v>
      </c>
      <c r="AA2509">
        <v>0</v>
      </c>
      <c r="AC2509">
        <v>46</v>
      </c>
    </row>
    <row r="2510" spans="1:29">
      <c r="A2510">
        <v>2503</v>
      </c>
      <c r="B2510">
        <v>3200</v>
      </c>
      <c r="C2510" t="s">
        <v>5367</v>
      </c>
      <c r="D2510" t="s">
        <v>557</v>
      </c>
      <c r="E2510" t="s">
        <v>564</v>
      </c>
      <c r="F2510" t="s">
        <v>5368</v>
      </c>
      <c r="G2510" t="str">
        <f>"00498070"</f>
        <v>00498070</v>
      </c>
      <c r="H2510">
        <v>16</v>
      </c>
      <c r="I2510">
        <v>0</v>
      </c>
      <c r="M2510">
        <v>0</v>
      </c>
      <c r="N2510">
        <v>4</v>
      </c>
      <c r="O2510">
        <v>2</v>
      </c>
      <c r="P2510">
        <v>22</v>
      </c>
      <c r="Q2510">
        <v>11</v>
      </c>
      <c r="R2510">
        <v>11</v>
      </c>
      <c r="S2510">
        <v>0</v>
      </c>
      <c r="T2510">
        <v>0</v>
      </c>
      <c r="U2510">
        <v>7</v>
      </c>
      <c r="V2510">
        <v>10</v>
      </c>
      <c r="W2510">
        <v>0</v>
      </c>
      <c r="X2510">
        <v>0</v>
      </c>
      <c r="Y2510">
        <v>21</v>
      </c>
      <c r="Z2510">
        <v>3</v>
      </c>
      <c r="AA2510">
        <v>0</v>
      </c>
      <c r="AC2510">
        <v>46</v>
      </c>
    </row>
    <row r="2511" spans="1:29">
      <c r="A2511">
        <v>2504</v>
      </c>
      <c r="B2511">
        <v>2766</v>
      </c>
      <c r="C2511" t="s">
        <v>5375</v>
      </c>
      <c r="D2511" t="s">
        <v>20</v>
      </c>
      <c r="E2511" t="s">
        <v>15</v>
      </c>
      <c r="F2511" t="s">
        <v>5376</v>
      </c>
      <c r="G2511" t="str">
        <f>"00864124"</f>
        <v>00864124</v>
      </c>
      <c r="H2511">
        <v>40</v>
      </c>
      <c r="I2511">
        <v>0</v>
      </c>
      <c r="M2511">
        <v>0</v>
      </c>
      <c r="N2511">
        <v>4</v>
      </c>
      <c r="O2511">
        <v>2</v>
      </c>
      <c r="P2511">
        <v>46</v>
      </c>
      <c r="Q2511">
        <v>0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v>0</v>
      </c>
      <c r="AA2511">
        <v>0</v>
      </c>
      <c r="AC2511">
        <v>46</v>
      </c>
    </row>
    <row r="2512" spans="1:29">
      <c r="A2512">
        <v>2505</v>
      </c>
      <c r="B2512">
        <v>4016</v>
      </c>
      <c r="C2512" t="s">
        <v>1550</v>
      </c>
      <c r="D2512" t="s">
        <v>930</v>
      </c>
      <c r="E2512" t="s">
        <v>337</v>
      </c>
      <c r="F2512" t="s">
        <v>5374</v>
      </c>
      <c r="G2512" t="str">
        <f>"00508827"</f>
        <v>00508827</v>
      </c>
      <c r="H2512">
        <v>40</v>
      </c>
      <c r="I2512">
        <v>0</v>
      </c>
      <c r="M2512">
        <v>0</v>
      </c>
      <c r="N2512">
        <v>4</v>
      </c>
      <c r="O2512">
        <v>2</v>
      </c>
      <c r="P2512">
        <v>46</v>
      </c>
      <c r="Q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v>0</v>
      </c>
      <c r="AA2512">
        <v>0</v>
      </c>
      <c r="AC2512">
        <v>46</v>
      </c>
    </row>
    <row r="2513" spans="1:29">
      <c r="A2513">
        <v>2506</v>
      </c>
      <c r="B2513">
        <v>2122</v>
      </c>
      <c r="C2513" t="s">
        <v>5369</v>
      </c>
      <c r="D2513" t="s">
        <v>1816</v>
      </c>
      <c r="E2513" t="s">
        <v>5370</v>
      </c>
      <c r="F2513" t="s">
        <v>5371</v>
      </c>
      <c r="G2513" t="str">
        <f>"00443640"</f>
        <v>00443640</v>
      </c>
      <c r="H2513">
        <v>40</v>
      </c>
      <c r="I2513">
        <v>0</v>
      </c>
      <c r="M2513">
        <v>0</v>
      </c>
      <c r="N2513">
        <v>4</v>
      </c>
      <c r="O2513">
        <v>2</v>
      </c>
      <c r="P2513">
        <v>46</v>
      </c>
      <c r="Q2513">
        <v>0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0</v>
      </c>
      <c r="Z2513">
        <v>0</v>
      </c>
      <c r="AA2513">
        <v>0</v>
      </c>
      <c r="AC2513">
        <v>46</v>
      </c>
    </row>
    <row r="2514" spans="1:29">
      <c r="A2514">
        <v>2507</v>
      </c>
      <c r="B2514">
        <v>3161</v>
      </c>
      <c r="C2514" t="s">
        <v>5372</v>
      </c>
      <c r="D2514" t="s">
        <v>248</v>
      </c>
      <c r="E2514" t="s">
        <v>122</v>
      </c>
      <c r="F2514" t="s">
        <v>5373</v>
      </c>
      <c r="G2514" t="str">
        <f>"201511028296"</f>
        <v>201511028296</v>
      </c>
      <c r="H2514">
        <v>40</v>
      </c>
      <c r="I2514">
        <v>0</v>
      </c>
      <c r="M2514">
        <v>0</v>
      </c>
      <c r="N2514">
        <v>4</v>
      </c>
      <c r="O2514">
        <v>2</v>
      </c>
      <c r="P2514">
        <v>46</v>
      </c>
      <c r="Q2514">
        <v>0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v>0</v>
      </c>
      <c r="AA2514">
        <v>0</v>
      </c>
      <c r="AC2514">
        <v>46</v>
      </c>
    </row>
    <row r="2515" spans="1:29">
      <c r="A2515">
        <v>2508</v>
      </c>
      <c r="B2515">
        <v>4440</v>
      </c>
      <c r="C2515" t="s">
        <v>1612</v>
      </c>
      <c r="D2515" t="s">
        <v>179</v>
      </c>
      <c r="E2515" t="s">
        <v>237</v>
      </c>
      <c r="F2515" t="s">
        <v>5379</v>
      </c>
      <c r="G2515" t="str">
        <f>"00861303"</f>
        <v>00861303</v>
      </c>
      <c r="H2515">
        <v>38</v>
      </c>
      <c r="I2515">
        <v>0</v>
      </c>
      <c r="L2515">
        <v>4</v>
      </c>
      <c r="M2515">
        <v>4</v>
      </c>
      <c r="N2515">
        <v>4</v>
      </c>
      <c r="O2515">
        <v>0</v>
      </c>
      <c r="P2515">
        <v>46</v>
      </c>
      <c r="Q2515">
        <v>0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0</v>
      </c>
      <c r="Z2515">
        <v>0</v>
      </c>
      <c r="AA2515">
        <v>0</v>
      </c>
      <c r="AC2515">
        <v>46</v>
      </c>
    </row>
    <row r="2516" spans="1:29">
      <c r="A2516">
        <v>2509</v>
      </c>
      <c r="B2516">
        <v>3013</v>
      </c>
      <c r="C2516" t="s">
        <v>5377</v>
      </c>
      <c r="D2516" t="s">
        <v>141</v>
      </c>
      <c r="E2516" t="s">
        <v>79</v>
      </c>
      <c r="F2516" t="s">
        <v>5378</v>
      </c>
      <c r="G2516" t="str">
        <f>"00494708"</f>
        <v>00494708</v>
      </c>
      <c r="H2516">
        <v>38</v>
      </c>
      <c r="I2516">
        <v>0</v>
      </c>
      <c r="L2516">
        <v>4</v>
      </c>
      <c r="M2516">
        <v>4</v>
      </c>
      <c r="N2516">
        <v>4</v>
      </c>
      <c r="O2516">
        <v>0</v>
      </c>
      <c r="P2516">
        <v>46</v>
      </c>
      <c r="Q2516">
        <v>0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0</v>
      </c>
      <c r="Z2516">
        <v>0</v>
      </c>
      <c r="AA2516">
        <v>0</v>
      </c>
      <c r="AC2516">
        <v>46</v>
      </c>
    </row>
    <row r="2517" spans="1:29">
      <c r="A2517">
        <v>2510</v>
      </c>
      <c r="B2517">
        <v>2635</v>
      </c>
      <c r="C2517" t="s">
        <v>5383</v>
      </c>
      <c r="D2517" t="s">
        <v>1091</v>
      </c>
      <c r="E2517" t="s">
        <v>79</v>
      </c>
      <c r="F2517" t="s">
        <v>5384</v>
      </c>
      <c r="G2517" t="str">
        <f>"00542002"</f>
        <v>00542002</v>
      </c>
      <c r="H2517">
        <v>36</v>
      </c>
      <c r="I2517">
        <v>10</v>
      </c>
      <c r="M2517">
        <v>0</v>
      </c>
      <c r="N2517">
        <v>0</v>
      </c>
      <c r="O2517">
        <v>0</v>
      </c>
      <c r="P2517">
        <v>46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0</v>
      </c>
      <c r="Z2517">
        <v>0</v>
      </c>
      <c r="AA2517">
        <v>0</v>
      </c>
      <c r="AC2517">
        <v>46</v>
      </c>
    </row>
    <row r="2518" spans="1:29">
      <c r="A2518">
        <v>2511</v>
      </c>
      <c r="B2518">
        <v>1472</v>
      </c>
      <c r="C2518" t="s">
        <v>1531</v>
      </c>
      <c r="D2518" t="s">
        <v>1138</v>
      </c>
      <c r="E2518" t="s">
        <v>15</v>
      </c>
      <c r="F2518" t="s">
        <v>5381</v>
      </c>
      <c r="G2518" t="str">
        <f>"00113089"</f>
        <v>00113089</v>
      </c>
      <c r="H2518">
        <v>36</v>
      </c>
      <c r="I2518">
        <v>0</v>
      </c>
      <c r="L2518">
        <v>4</v>
      </c>
      <c r="M2518">
        <v>4</v>
      </c>
      <c r="N2518">
        <v>4</v>
      </c>
      <c r="O2518">
        <v>2</v>
      </c>
      <c r="P2518">
        <v>46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0</v>
      </c>
      <c r="Z2518">
        <v>0</v>
      </c>
      <c r="AA2518">
        <v>0</v>
      </c>
      <c r="AC2518">
        <v>46</v>
      </c>
    </row>
    <row r="2519" spans="1:29">
      <c r="A2519">
        <v>2512</v>
      </c>
      <c r="B2519">
        <v>4384</v>
      </c>
      <c r="C2519" t="s">
        <v>5385</v>
      </c>
      <c r="D2519" t="s">
        <v>24</v>
      </c>
      <c r="E2519" t="s">
        <v>134</v>
      </c>
      <c r="F2519" t="s">
        <v>5386</v>
      </c>
      <c r="G2519" t="str">
        <f>"00830767"</f>
        <v>00830767</v>
      </c>
      <c r="H2519">
        <v>36</v>
      </c>
      <c r="I2519">
        <v>0</v>
      </c>
      <c r="L2519">
        <v>4</v>
      </c>
      <c r="M2519">
        <v>4</v>
      </c>
      <c r="N2519">
        <v>4</v>
      </c>
      <c r="O2519">
        <v>2</v>
      </c>
      <c r="P2519">
        <v>46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0</v>
      </c>
      <c r="AA2519">
        <v>0</v>
      </c>
      <c r="AC2519">
        <v>46</v>
      </c>
    </row>
    <row r="2520" spans="1:29">
      <c r="A2520">
        <v>2513</v>
      </c>
      <c r="B2520">
        <v>4194</v>
      </c>
      <c r="C2520" t="s">
        <v>4129</v>
      </c>
      <c r="D2520" t="s">
        <v>98</v>
      </c>
      <c r="E2520" t="s">
        <v>436</v>
      </c>
      <c r="F2520" t="s">
        <v>5382</v>
      </c>
      <c r="G2520" t="str">
        <f>"00378161"</f>
        <v>00378161</v>
      </c>
      <c r="H2520">
        <v>36</v>
      </c>
      <c r="I2520">
        <v>0</v>
      </c>
      <c r="L2520">
        <v>4</v>
      </c>
      <c r="M2520">
        <v>4</v>
      </c>
      <c r="N2520">
        <v>4</v>
      </c>
      <c r="O2520">
        <v>2</v>
      </c>
      <c r="P2520">
        <v>46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0</v>
      </c>
      <c r="Z2520">
        <v>0</v>
      </c>
      <c r="AA2520">
        <v>0</v>
      </c>
      <c r="AC2520">
        <v>46</v>
      </c>
    </row>
    <row r="2521" spans="1:29">
      <c r="A2521">
        <v>2514</v>
      </c>
      <c r="B2521">
        <v>4695</v>
      </c>
      <c r="C2521" t="s">
        <v>3374</v>
      </c>
      <c r="D2521" t="s">
        <v>5268</v>
      </c>
      <c r="E2521" t="s">
        <v>18</v>
      </c>
      <c r="F2521" t="s">
        <v>5399</v>
      </c>
      <c r="G2521" t="str">
        <f>"00099621"</f>
        <v>00099621</v>
      </c>
      <c r="H2521">
        <v>36</v>
      </c>
      <c r="I2521">
        <v>0</v>
      </c>
      <c r="L2521">
        <v>4</v>
      </c>
      <c r="M2521">
        <v>4</v>
      </c>
      <c r="N2521">
        <v>4</v>
      </c>
      <c r="O2521">
        <v>2</v>
      </c>
      <c r="P2521">
        <v>46</v>
      </c>
      <c r="Q2521">
        <v>0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0</v>
      </c>
      <c r="Z2521">
        <v>0</v>
      </c>
      <c r="AA2521">
        <v>0</v>
      </c>
      <c r="AC2521">
        <v>46</v>
      </c>
    </row>
    <row r="2522" spans="1:29">
      <c r="A2522">
        <v>2515</v>
      </c>
      <c r="B2522">
        <v>3702</v>
      </c>
      <c r="C2522" t="s">
        <v>5387</v>
      </c>
      <c r="D2522" t="s">
        <v>332</v>
      </c>
      <c r="E2522" t="s">
        <v>564</v>
      </c>
      <c r="F2522" t="s">
        <v>5388</v>
      </c>
      <c r="G2522" t="str">
        <f>"00863235"</f>
        <v>00863235</v>
      </c>
      <c r="H2522">
        <v>36</v>
      </c>
      <c r="I2522">
        <v>0</v>
      </c>
      <c r="L2522">
        <v>4</v>
      </c>
      <c r="M2522">
        <v>4</v>
      </c>
      <c r="N2522">
        <v>4</v>
      </c>
      <c r="O2522">
        <v>2</v>
      </c>
      <c r="P2522">
        <v>46</v>
      </c>
      <c r="Q2522">
        <v>0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0</v>
      </c>
      <c r="Z2522">
        <v>0</v>
      </c>
      <c r="AA2522">
        <v>0</v>
      </c>
      <c r="AC2522">
        <v>46</v>
      </c>
    </row>
    <row r="2523" spans="1:29">
      <c r="A2523">
        <v>2516</v>
      </c>
      <c r="B2523">
        <v>3140</v>
      </c>
      <c r="C2523" t="s">
        <v>5400</v>
      </c>
      <c r="D2523" t="s">
        <v>400</v>
      </c>
      <c r="E2523" t="s">
        <v>28</v>
      </c>
      <c r="F2523" t="s">
        <v>5401</v>
      </c>
      <c r="G2523" t="str">
        <f>"00860460"</f>
        <v>00860460</v>
      </c>
      <c r="H2523">
        <v>36</v>
      </c>
      <c r="I2523">
        <v>0</v>
      </c>
      <c r="L2523">
        <v>4</v>
      </c>
      <c r="M2523">
        <v>4</v>
      </c>
      <c r="N2523">
        <v>4</v>
      </c>
      <c r="O2523">
        <v>2</v>
      </c>
      <c r="P2523">
        <v>46</v>
      </c>
      <c r="Q2523">
        <v>0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v>0</v>
      </c>
      <c r="AA2523">
        <v>0</v>
      </c>
      <c r="AC2523">
        <v>46</v>
      </c>
    </row>
    <row r="2524" spans="1:29">
      <c r="A2524">
        <v>2517</v>
      </c>
      <c r="B2524">
        <v>4870</v>
      </c>
      <c r="C2524" t="s">
        <v>712</v>
      </c>
      <c r="D2524" t="s">
        <v>108</v>
      </c>
      <c r="E2524" t="s">
        <v>66</v>
      </c>
      <c r="F2524" t="s">
        <v>5380</v>
      </c>
      <c r="G2524" t="str">
        <f>"00532875"</f>
        <v>00532875</v>
      </c>
      <c r="H2524">
        <v>36</v>
      </c>
      <c r="I2524">
        <v>0</v>
      </c>
      <c r="L2524">
        <v>4</v>
      </c>
      <c r="M2524">
        <v>4</v>
      </c>
      <c r="N2524">
        <v>4</v>
      </c>
      <c r="O2524">
        <v>2</v>
      </c>
      <c r="P2524">
        <v>46</v>
      </c>
      <c r="Q2524">
        <v>0</v>
      </c>
      <c r="R2524">
        <v>0</v>
      </c>
      <c r="S2524">
        <v>0</v>
      </c>
      <c r="T2524">
        <v>0</v>
      </c>
      <c r="U2524">
        <v>0</v>
      </c>
      <c r="V2524">
        <v>0</v>
      </c>
      <c r="W2524">
        <v>0</v>
      </c>
      <c r="X2524">
        <v>0</v>
      </c>
      <c r="Y2524">
        <v>0</v>
      </c>
      <c r="Z2524">
        <v>0</v>
      </c>
      <c r="AA2524">
        <v>0</v>
      </c>
      <c r="AC2524">
        <v>46</v>
      </c>
    </row>
    <row r="2525" spans="1:29">
      <c r="A2525">
        <v>2518</v>
      </c>
      <c r="B2525">
        <v>1371</v>
      </c>
      <c r="C2525" t="s">
        <v>5395</v>
      </c>
      <c r="D2525" t="s">
        <v>46</v>
      </c>
      <c r="E2525" t="s">
        <v>66</v>
      </c>
      <c r="F2525" t="s">
        <v>5396</v>
      </c>
      <c r="G2525" t="str">
        <f>"00462918"</f>
        <v>00462918</v>
      </c>
      <c r="H2525">
        <v>36</v>
      </c>
      <c r="I2525">
        <v>10</v>
      </c>
      <c r="M2525">
        <v>0</v>
      </c>
      <c r="N2525">
        <v>0</v>
      </c>
      <c r="O2525">
        <v>0</v>
      </c>
      <c r="P2525">
        <v>46</v>
      </c>
      <c r="Q2525">
        <v>0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0</v>
      </c>
      <c r="Z2525">
        <v>0</v>
      </c>
      <c r="AA2525">
        <v>0</v>
      </c>
      <c r="AC2525">
        <v>46</v>
      </c>
    </row>
    <row r="2526" spans="1:29">
      <c r="A2526">
        <v>2519</v>
      </c>
      <c r="B2526">
        <v>2616</v>
      </c>
      <c r="C2526" t="s">
        <v>5391</v>
      </c>
      <c r="D2526" t="s">
        <v>205</v>
      </c>
      <c r="E2526" t="s">
        <v>115</v>
      </c>
      <c r="F2526" t="s">
        <v>5392</v>
      </c>
      <c r="G2526" t="str">
        <f>"00461227"</f>
        <v>00461227</v>
      </c>
      <c r="H2526">
        <v>36</v>
      </c>
      <c r="I2526">
        <v>0</v>
      </c>
      <c r="L2526">
        <v>4</v>
      </c>
      <c r="M2526">
        <v>4</v>
      </c>
      <c r="N2526">
        <v>4</v>
      </c>
      <c r="O2526">
        <v>2</v>
      </c>
      <c r="P2526">
        <v>46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0</v>
      </c>
      <c r="Z2526">
        <v>0</v>
      </c>
      <c r="AA2526">
        <v>0</v>
      </c>
      <c r="AC2526">
        <v>46</v>
      </c>
    </row>
    <row r="2527" spans="1:29">
      <c r="A2527">
        <v>2520</v>
      </c>
      <c r="B2527">
        <v>1763</v>
      </c>
      <c r="C2527" t="s">
        <v>5393</v>
      </c>
      <c r="D2527" t="s">
        <v>46</v>
      </c>
      <c r="E2527" t="s">
        <v>18</v>
      </c>
      <c r="F2527" t="s">
        <v>5394</v>
      </c>
      <c r="G2527" t="str">
        <f>"00532891"</f>
        <v>00532891</v>
      </c>
      <c r="H2527">
        <v>36</v>
      </c>
      <c r="I2527">
        <v>0</v>
      </c>
      <c r="L2527">
        <v>4</v>
      </c>
      <c r="M2527">
        <v>4</v>
      </c>
      <c r="N2527">
        <v>4</v>
      </c>
      <c r="O2527">
        <v>2</v>
      </c>
      <c r="P2527">
        <v>46</v>
      </c>
      <c r="Q2527">
        <v>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0</v>
      </c>
      <c r="Z2527">
        <v>0</v>
      </c>
      <c r="AA2527">
        <v>0</v>
      </c>
      <c r="AC2527">
        <v>46</v>
      </c>
    </row>
    <row r="2528" spans="1:29">
      <c r="A2528">
        <v>2521</v>
      </c>
      <c r="B2528">
        <v>2147</v>
      </c>
      <c r="C2528" t="s">
        <v>5389</v>
      </c>
      <c r="D2528" t="s">
        <v>52</v>
      </c>
      <c r="E2528" t="s">
        <v>79</v>
      </c>
      <c r="F2528" t="s">
        <v>5390</v>
      </c>
      <c r="G2528" t="str">
        <f>"00509301"</f>
        <v>00509301</v>
      </c>
      <c r="H2528">
        <v>36</v>
      </c>
      <c r="I2528">
        <v>0</v>
      </c>
      <c r="K2528">
        <v>6</v>
      </c>
      <c r="M2528">
        <v>6</v>
      </c>
      <c r="N2528">
        <v>4</v>
      </c>
      <c r="O2528">
        <v>0</v>
      </c>
      <c r="P2528">
        <v>46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0</v>
      </c>
      <c r="Z2528">
        <v>0</v>
      </c>
      <c r="AA2528">
        <v>0</v>
      </c>
      <c r="AC2528">
        <v>46</v>
      </c>
    </row>
    <row r="2529" spans="1:29">
      <c r="A2529">
        <v>2522</v>
      </c>
      <c r="B2529">
        <v>2690</v>
      </c>
      <c r="C2529" t="s">
        <v>5397</v>
      </c>
      <c r="D2529" t="s">
        <v>52</v>
      </c>
      <c r="E2529" t="s">
        <v>15</v>
      </c>
      <c r="F2529" t="s">
        <v>5398</v>
      </c>
      <c r="G2529" t="str">
        <f>"00860240"</f>
        <v>00860240</v>
      </c>
      <c r="H2529">
        <v>36</v>
      </c>
      <c r="I2529">
        <v>0</v>
      </c>
      <c r="L2529">
        <v>4</v>
      </c>
      <c r="M2529">
        <v>4</v>
      </c>
      <c r="N2529">
        <v>4</v>
      </c>
      <c r="O2529">
        <v>2</v>
      </c>
      <c r="P2529">
        <v>46</v>
      </c>
      <c r="Q2529">
        <v>0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0</v>
      </c>
      <c r="Z2529">
        <v>0</v>
      </c>
      <c r="AA2529">
        <v>0</v>
      </c>
      <c r="AC2529">
        <v>46</v>
      </c>
    </row>
    <row r="2530" spans="1:29">
      <c r="A2530">
        <v>2523</v>
      </c>
      <c r="B2530">
        <v>924</v>
      </c>
      <c r="C2530" t="s">
        <v>5402</v>
      </c>
      <c r="D2530" t="s">
        <v>145</v>
      </c>
      <c r="E2530" t="s">
        <v>134</v>
      </c>
      <c r="F2530" t="s">
        <v>5403</v>
      </c>
      <c r="G2530" t="str">
        <f>"00855980"</f>
        <v>00855980</v>
      </c>
      <c r="H2530">
        <v>34</v>
      </c>
      <c r="I2530">
        <v>0</v>
      </c>
      <c r="J2530">
        <v>8</v>
      </c>
      <c r="M2530">
        <v>8</v>
      </c>
      <c r="N2530">
        <v>4</v>
      </c>
      <c r="O2530">
        <v>0</v>
      </c>
      <c r="P2530">
        <v>46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v>0</v>
      </c>
      <c r="AA2530">
        <v>0</v>
      </c>
      <c r="AC2530">
        <v>46</v>
      </c>
    </row>
    <row r="2531" spans="1:29">
      <c r="A2531">
        <v>2524</v>
      </c>
      <c r="B2531">
        <v>3192</v>
      </c>
      <c r="C2531" t="s">
        <v>5404</v>
      </c>
      <c r="D2531" t="s">
        <v>28</v>
      </c>
      <c r="E2531" t="s">
        <v>5405</v>
      </c>
      <c r="F2531" t="s">
        <v>5406</v>
      </c>
      <c r="G2531" t="str">
        <f>"00527467"</f>
        <v>00527467</v>
      </c>
      <c r="H2531">
        <v>0</v>
      </c>
      <c r="I2531">
        <v>10</v>
      </c>
      <c r="L2531">
        <v>4</v>
      </c>
      <c r="M2531">
        <v>4</v>
      </c>
      <c r="N2531">
        <v>4</v>
      </c>
      <c r="O2531">
        <v>0</v>
      </c>
      <c r="P2531">
        <v>18</v>
      </c>
      <c r="Q2531">
        <v>28</v>
      </c>
      <c r="R2531">
        <v>28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28</v>
      </c>
      <c r="Z2531">
        <v>0</v>
      </c>
      <c r="AA2531">
        <v>0</v>
      </c>
      <c r="AC2531">
        <v>46</v>
      </c>
    </row>
    <row r="2532" spans="1:29">
      <c r="A2532">
        <v>2525</v>
      </c>
      <c r="B2532">
        <v>942</v>
      </c>
      <c r="C2532" t="s">
        <v>5407</v>
      </c>
      <c r="D2532" t="s">
        <v>20</v>
      </c>
      <c r="E2532" t="s">
        <v>5408</v>
      </c>
      <c r="F2532" t="s">
        <v>5409</v>
      </c>
      <c r="G2532" t="str">
        <f>"00748383"</f>
        <v>00748383</v>
      </c>
      <c r="H2532">
        <v>36.880000000000003</v>
      </c>
      <c r="I2532">
        <v>0</v>
      </c>
      <c r="M2532">
        <v>0</v>
      </c>
      <c r="N2532">
        <v>0</v>
      </c>
      <c r="O2532">
        <v>0</v>
      </c>
      <c r="P2532">
        <v>36.880000000000003</v>
      </c>
      <c r="Q2532">
        <v>0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0</v>
      </c>
      <c r="Z2532">
        <v>9</v>
      </c>
      <c r="AA2532">
        <v>0</v>
      </c>
      <c r="AC2532">
        <v>45.88</v>
      </c>
    </row>
    <row r="2533" spans="1:29">
      <c r="A2533">
        <v>2526</v>
      </c>
      <c r="B2533">
        <v>1638</v>
      </c>
      <c r="C2533" t="s">
        <v>5412</v>
      </c>
      <c r="D2533" t="s">
        <v>175</v>
      </c>
      <c r="E2533" t="s">
        <v>79</v>
      </c>
      <c r="F2533" t="s">
        <v>5413</v>
      </c>
      <c r="G2533" t="str">
        <f>"00078274"</f>
        <v>00078274</v>
      </c>
      <c r="H2533">
        <v>36.799999999999997</v>
      </c>
      <c r="I2533">
        <v>0</v>
      </c>
      <c r="M2533">
        <v>0</v>
      </c>
      <c r="N2533">
        <v>0</v>
      </c>
      <c r="O2533">
        <v>0</v>
      </c>
      <c r="P2533">
        <v>36.799999999999997</v>
      </c>
      <c r="Q2533">
        <v>0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9</v>
      </c>
      <c r="AA2533">
        <v>0</v>
      </c>
      <c r="AC2533">
        <v>45.8</v>
      </c>
    </row>
    <row r="2534" spans="1:29">
      <c r="A2534">
        <v>2527</v>
      </c>
      <c r="B2534">
        <v>2967</v>
      </c>
      <c r="C2534" t="s">
        <v>5410</v>
      </c>
      <c r="D2534" t="s">
        <v>27</v>
      </c>
      <c r="E2534" t="s">
        <v>60</v>
      </c>
      <c r="F2534" t="s">
        <v>5411</v>
      </c>
      <c r="G2534" t="str">
        <f>"00256281"</f>
        <v>00256281</v>
      </c>
      <c r="H2534">
        <v>36.799999999999997</v>
      </c>
      <c r="I2534">
        <v>0</v>
      </c>
      <c r="M2534">
        <v>0</v>
      </c>
      <c r="N2534">
        <v>0</v>
      </c>
      <c r="O2534">
        <v>0</v>
      </c>
      <c r="P2534">
        <v>36.799999999999997</v>
      </c>
      <c r="Q2534">
        <v>0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v>9</v>
      </c>
      <c r="AA2534">
        <v>0</v>
      </c>
      <c r="AC2534">
        <v>45.8</v>
      </c>
    </row>
    <row r="2535" spans="1:29">
      <c r="A2535">
        <v>2528</v>
      </c>
      <c r="B2535">
        <v>3030</v>
      </c>
      <c r="C2535" t="s">
        <v>5414</v>
      </c>
      <c r="D2535" t="s">
        <v>5415</v>
      </c>
      <c r="E2535" t="s">
        <v>79</v>
      </c>
      <c r="F2535" t="s">
        <v>5416</v>
      </c>
      <c r="G2535" t="str">
        <f>"00530388"</f>
        <v>00530388</v>
      </c>
      <c r="H2535">
        <v>26.8</v>
      </c>
      <c r="I2535">
        <v>0</v>
      </c>
      <c r="M2535">
        <v>0</v>
      </c>
      <c r="N2535">
        <v>0</v>
      </c>
      <c r="O2535">
        <v>0</v>
      </c>
      <c r="P2535">
        <v>26.8</v>
      </c>
      <c r="Q2535">
        <v>13</v>
      </c>
      <c r="R2535">
        <v>13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13</v>
      </c>
      <c r="Z2535">
        <v>6</v>
      </c>
      <c r="AA2535">
        <v>0</v>
      </c>
      <c r="AC2535">
        <v>45.8</v>
      </c>
    </row>
    <row r="2536" spans="1:29">
      <c r="A2536">
        <v>2529</v>
      </c>
      <c r="B2536">
        <v>2176</v>
      </c>
      <c r="C2536" t="s">
        <v>5417</v>
      </c>
      <c r="D2536" t="s">
        <v>27</v>
      </c>
      <c r="E2536" t="s">
        <v>18</v>
      </c>
      <c r="F2536" t="s">
        <v>5418</v>
      </c>
      <c r="G2536" t="str">
        <f>"00588645"</f>
        <v>00588645</v>
      </c>
      <c r="H2536">
        <v>28.8</v>
      </c>
      <c r="I2536">
        <v>0</v>
      </c>
      <c r="J2536">
        <v>8</v>
      </c>
      <c r="M2536">
        <v>8</v>
      </c>
      <c r="N2536">
        <v>4</v>
      </c>
      <c r="O2536">
        <v>2</v>
      </c>
      <c r="P2536">
        <v>42.8</v>
      </c>
      <c r="Q2536">
        <v>0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0</v>
      </c>
      <c r="Z2536">
        <v>3</v>
      </c>
      <c r="AA2536">
        <v>0</v>
      </c>
      <c r="AC2536">
        <v>45.8</v>
      </c>
    </row>
    <row r="2537" spans="1:29">
      <c r="A2537">
        <v>2530</v>
      </c>
      <c r="B2537">
        <v>1895</v>
      </c>
      <c r="C2537" t="s">
        <v>5419</v>
      </c>
      <c r="D2537" t="s">
        <v>167</v>
      </c>
      <c r="E2537" t="s">
        <v>115</v>
      </c>
      <c r="F2537" t="s">
        <v>5420</v>
      </c>
      <c r="G2537" t="str">
        <f>"00530313"</f>
        <v>00530313</v>
      </c>
      <c r="H2537">
        <v>28.8</v>
      </c>
      <c r="I2537">
        <v>0</v>
      </c>
      <c r="M2537">
        <v>0</v>
      </c>
      <c r="N2537">
        <v>0</v>
      </c>
      <c r="O2537">
        <v>0</v>
      </c>
      <c r="P2537">
        <v>28.8</v>
      </c>
      <c r="Q2537">
        <v>17</v>
      </c>
      <c r="R2537">
        <v>17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17</v>
      </c>
      <c r="Z2537">
        <v>0</v>
      </c>
      <c r="AA2537">
        <v>0</v>
      </c>
      <c r="AC2537">
        <v>45.8</v>
      </c>
    </row>
    <row r="2538" spans="1:29">
      <c r="A2538">
        <v>2531</v>
      </c>
      <c r="B2538">
        <v>3235</v>
      </c>
      <c r="C2538" t="s">
        <v>5421</v>
      </c>
      <c r="D2538" t="s">
        <v>98</v>
      </c>
      <c r="E2538" t="s">
        <v>66</v>
      </c>
      <c r="F2538" t="s">
        <v>5422</v>
      </c>
      <c r="G2538" t="str">
        <f>"00529520"</f>
        <v>00529520</v>
      </c>
      <c r="H2538">
        <v>14.8</v>
      </c>
      <c r="I2538">
        <v>0</v>
      </c>
      <c r="M2538">
        <v>0</v>
      </c>
      <c r="N2538">
        <v>4</v>
      </c>
      <c r="O2538">
        <v>2</v>
      </c>
      <c r="P2538">
        <v>20.8</v>
      </c>
      <c r="Q2538">
        <v>25</v>
      </c>
      <c r="R2538">
        <v>25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  <c r="Y2538">
        <v>25</v>
      </c>
      <c r="Z2538">
        <v>0</v>
      </c>
      <c r="AA2538">
        <v>0</v>
      </c>
      <c r="AC2538">
        <v>45.8</v>
      </c>
    </row>
    <row r="2539" spans="1:29">
      <c r="A2539">
        <v>2532</v>
      </c>
      <c r="B2539">
        <v>4591</v>
      </c>
      <c r="C2539" t="s">
        <v>3864</v>
      </c>
      <c r="D2539" t="s">
        <v>27</v>
      </c>
      <c r="E2539" t="s">
        <v>60</v>
      </c>
      <c r="F2539" t="s">
        <v>5423</v>
      </c>
      <c r="G2539" t="str">
        <f>"00800795"</f>
        <v>00800795</v>
      </c>
      <c r="H2539">
        <v>33.76</v>
      </c>
      <c r="I2539">
        <v>0</v>
      </c>
      <c r="J2539">
        <v>8</v>
      </c>
      <c r="M2539">
        <v>8</v>
      </c>
      <c r="N2539">
        <v>4</v>
      </c>
      <c r="O2539">
        <v>0</v>
      </c>
      <c r="P2539">
        <v>45.76</v>
      </c>
      <c r="Q2539">
        <v>0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v>0</v>
      </c>
      <c r="AA2539">
        <v>0</v>
      </c>
      <c r="AC2539">
        <v>45.76</v>
      </c>
    </row>
    <row r="2540" spans="1:29">
      <c r="A2540">
        <v>2533</v>
      </c>
      <c r="B2540">
        <v>2627</v>
      </c>
      <c r="C2540" t="s">
        <v>5424</v>
      </c>
      <c r="D2540" t="s">
        <v>2014</v>
      </c>
      <c r="E2540" t="s">
        <v>79</v>
      </c>
      <c r="F2540" t="s">
        <v>5425</v>
      </c>
      <c r="G2540" t="str">
        <f>"00276343"</f>
        <v>00276343</v>
      </c>
      <c r="H2540">
        <v>31.72</v>
      </c>
      <c r="I2540">
        <v>0</v>
      </c>
      <c r="L2540">
        <v>4</v>
      </c>
      <c r="M2540">
        <v>4</v>
      </c>
      <c r="N2540">
        <v>4</v>
      </c>
      <c r="O2540">
        <v>0</v>
      </c>
      <c r="P2540">
        <v>39.72</v>
      </c>
      <c r="Q2540">
        <v>0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0</v>
      </c>
      <c r="Z2540">
        <v>6</v>
      </c>
      <c r="AA2540">
        <v>0</v>
      </c>
      <c r="AC2540">
        <v>45.72</v>
      </c>
    </row>
    <row r="2541" spans="1:29">
      <c r="A2541">
        <v>2534</v>
      </c>
      <c r="B2541">
        <v>2440</v>
      </c>
      <c r="C2541" t="s">
        <v>5426</v>
      </c>
      <c r="D2541" t="s">
        <v>145</v>
      </c>
      <c r="E2541" t="s">
        <v>36</v>
      </c>
      <c r="F2541" t="s">
        <v>5427</v>
      </c>
      <c r="G2541" t="str">
        <f>"00296951"</f>
        <v>00296951</v>
      </c>
      <c r="H2541">
        <v>38.68</v>
      </c>
      <c r="I2541">
        <v>0</v>
      </c>
      <c r="M2541">
        <v>0</v>
      </c>
      <c r="N2541">
        <v>4</v>
      </c>
      <c r="O2541">
        <v>0</v>
      </c>
      <c r="P2541">
        <v>42.68</v>
      </c>
      <c r="Q2541">
        <v>0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3</v>
      </c>
      <c r="AA2541">
        <v>0</v>
      </c>
      <c r="AC2541">
        <v>45.68</v>
      </c>
    </row>
    <row r="2542" spans="1:29">
      <c r="A2542">
        <v>2535</v>
      </c>
      <c r="B2542">
        <v>3497</v>
      </c>
      <c r="C2542" t="s">
        <v>5429</v>
      </c>
      <c r="D2542" t="s">
        <v>465</v>
      </c>
      <c r="E2542" t="s">
        <v>115</v>
      </c>
      <c r="F2542" t="s">
        <v>5430</v>
      </c>
      <c r="G2542" t="str">
        <f>"00862362"</f>
        <v>00862362</v>
      </c>
      <c r="H2542">
        <v>38.68</v>
      </c>
      <c r="I2542">
        <v>0</v>
      </c>
      <c r="M2542">
        <v>0</v>
      </c>
      <c r="N2542">
        <v>4</v>
      </c>
      <c r="O2542">
        <v>0</v>
      </c>
      <c r="P2542">
        <v>42.68</v>
      </c>
      <c r="Q2542">
        <v>0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3</v>
      </c>
      <c r="AA2542">
        <v>0</v>
      </c>
      <c r="AC2542">
        <v>45.68</v>
      </c>
    </row>
    <row r="2543" spans="1:29">
      <c r="A2543">
        <v>2536</v>
      </c>
      <c r="B2543">
        <v>3745</v>
      </c>
      <c r="C2543" t="s">
        <v>3446</v>
      </c>
      <c r="D2543" t="s">
        <v>130</v>
      </c>
      <c r="E2543" t="s">
        <v>451</v>
      </c>
      <c r="F2543" t="s">
        <v>5428</v>
      </c>
      <c r="G2543" t="str">
        <f>"00864011"</f>
        <v>00864011</v>
      </c>
      <c r="H2543">
        <v>38.68</v>
      </c>
      <c r="I2543">
        <v>0</v>
      </c>
      <c r="M2543">
        <v>0</v>
      </c>
      <c r="N2543">
        <v>4</v>
      </c>
      <c r="O2543">
        <v>0</v>
      </c>
      <c r="P2543">
        <v>42.68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0</v>
      </c>
      <c r="Z2543">
        <v>3</v>
      </c>
      <c r="AA2543">
        <v>0</v>
      </c>
      <c r="AC2543">
        <v>45.68</v>
      </c>
    </row>
    <row r="2544" spans="1:29">
      <c r="A2544">
        <v>2537</v>
      </c>
      <c r="B2544">
        <v>4285</v>
      </c>
      <c r="C2544" t="s">
        <v>4118</v>
      </c>
      <c r="D2544" t="s">
        <v>739</v>
      </c>
      <c r="E2544" t="s">
        <v>4567</v>
      </c>
      <c r="F2544" t="s">
        <v>5431</v>
      </c>
      <c r="G2544" t="str">
        <f>"00004174"</f>
        <v>00004174</v>
      </c>
      <c r="H2544">
        <v>39.6</v>
      </c>
      <c r="I2544">
        <v>0</v>
      </c>
      <c r="M2544">
        <v>0</v>
      </c>
      <c r="N2544">
        <v>0</v>
      </c>
      <c r="O2544">
        <v>0</v>
      </c>
      <c r="P2544">
        <v>39.6</v>
      </c>
      <c r="Q2544">
        <v>0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0</v>
      </c>
      <c r="Z2544">
        <v>6</v>
      </c>
      <c r="AA2544">
        <v>0</v>
      </c>
      <c r="AC2544">
        <v>45.6</v>
      </c>
    </row>
    <row r="2545" spans="1:29">
      <c r="A2545">
        <v>2538</v>
      </c>
      <c r="B2545">
        <v>754</v>
      </c>
      <c r="C2545" t="s">
        <v>5432</v>
      </c>
      <c r="D2545" t="s">
        <v>159</v>
      </c>
      <c r="E2545" t="s">
        <v>5433</v>
      </c>
      <c r="F2545" t="s">
        <v>5434</v>
      </c>
      <c r="G2545" t="str">
        <f>"00021196"</f>
        <v>00021196</v>
      </c>
      <c r="H2545">
        <v>31.6</v>
      </c>
      <c r="I2545">
        <v>0</v>
      </c>
      <c r="L2545">
        <v>4</v>
      </c>
      <c r="M2545">
        <v>4</v>
      </c>
      <c r="N2545">
        <v>4</v>
      </c>
      <c r="O2545">
        <v>0</v>
      </c>
      <c r="P2545">
        <v>39.6</v>
      </c>
      <c r="Q2545">
        <v>0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v>6</v>
      </c>
      <c r="AA2545">
        <v>0</v>
      </c>
      <c r="AC2545">
        <v>45.6</v>
      </c>
    </row>
    <row r="2546" spans="1:29">
      <c r="A2546">
        <v>2539</v>
      </c>
      <c r="B2546">
        <v>1661</v>
      </c>
      <c r="C2546" t="s">
        <v>5435</v>
      </c>
      <c r="D2546" t="s">
        <v>5436</v>
      </c>
      <c r="E2546" t="s">
        <v>66</v>
      </c>
      <c r="F2546" t="s">
        <v>5437</v>
      </c>
      <c r="G2546" t="str">
        <f>"00193031"</f>
        <v>00193031</v>
      </c>
      <c r="H2546">
        <v>25.6</v>
      </c>
      <c r="I2546">
        <v>10</v>
      </c>
      <c r="M2546">
        <v>0</v>
      </c>
      <c r="N2546">
        <v>4</v>
      </c>
      <c r="O2546">
        <v>0</v>
      </c>
      <c r="P2546">
        <v>39.6</v>
      </c>
      <c r="Q2546">
        <v>0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0</v>
      </c>
      <c r="Z2546">
        <v>6</v>
      </c>
      <c r="AA2546">
        <v>0</v>
      </c>
      <c r="AC2546">
        <v>45.6</v>
      </c>
    </row>
    <row r="2547" spans="1:29">
      <c r="A2547">
        <v>2540</v>
      </c>
      <c r="B2547">
        <v>4971</v>
      </c>
      <c r="C2547" t="s">
        <v>5438</v>
      </c>
      <c r="D2547" t="s">
        <v>397</v>
      </c>
      <c r="E2547" t="s">
        <v>2589</v>
      </c>
      <c r="F2547" t="s">
        <v>5439</v>
      </c>
      <c r="G2547" t="str">
        <f>"00865809"</f>
        <v>00865809</v>
      </c>
      <c r="H2547">
        <v>39.6</v>
      </c>
      <c r="I2547">
        <v>0</v>
      </c>
      <c r="M2547">
        <v>0</v>
      </c>
      <c r="N2547">
        <v>4</v>
      </c>
      <c r="O2547">
        <v>2</v>
      </c>
      <c r="P2547">
        <v>45.6</v>
      </c>
      <c r="Q2547">
        <v>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  <c r="AA2547">
        <v>0</v>
      </c>
      <c r="AC2547">
        <v>45.6</v>
      </c>
    </row>
    <row r="2548" spans="1:29">
      <c r="A2548">
        <v>2541</v>
      </c>
      <c r="B2548">
        <v>2632</v>
      </c>
      <c r="C2548" t="s">
        <v>5440</v>
      </c>
      <c r="D2548" t="s">
        <v>739</v>
      </c>
      <c r="E2548" t="s">
        <v>36</v>
      </c>
      <c r="F2548" t="s">
        <v>5441</v>
      </c>
      <c r="G2548" t="str">
        <f>"00655065"</f>
        <v>00655065</v>
      </c>
      <c r="H2548">
        <v>39.6</v>
      </c>
      <c r="I2548">
        <v>0</v>
      </c>
      <c r="M2548">
        <v>0</v>
      </c>
      <c r="N2548">
        <v>4</v>
      </c>
      <c r="O2548">
        <v>2</v>
      </c>
      <c r="P2548">
        <v>45.6</v>
      </c>
      <c r="Q2548">
        <v>0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v>0</v>
      </c>
      <c r="AA2548">
        <v>0</v>
      </c>
      <c r="AC2548">
        <v>45.6</v>
      </c>
    </row>
    <row r="2549" spans="1:29">
      <c r="A2549">
        <v>2542</v>
      </c>
      <c r="B2549">
        <v>4727</v>
      </c>
      <c r="C2549" t="s">
        <v>4161</v>
      </c>
      <c r="D2549" t="s">
        <v>784</v>
      </c>
      <c r="E2549" t="s">
        <v>115</v>
      </c>
      <c r="F2549" t="s">
        <v>5445</v>
      </c>
      <c r="G2549" t="str">
        <f>"00491283"</f>
        <v>00491283</v>
      </c>
      <c r="H2549">
        <v>37.6</v>
      </c>
      <c r="I2549">
        <v>0</v>
      </c>
      <c r="L2549">
        <v>8</v>
      </c>
      <c r="M2549">
        <v>8</v>
      </c>
      <c r="N2549">
        <v>0</v>
      </c>
      <c r="O2549">
        <v>0</v>
      </c>
      <c r="P2549">
        <v>45.6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0</v>
      </c>
      <c r="Z2549">
        <v>0</v>
      </c>
      <c r="AA2549">
        <v>0</v>
      </c>
      <c r="AC2549">
        <v>45.6</v>
      </c>
    </row>
    <row r="2550" spans="1:29">
      <c r="A2550">
        <v>2543</v>
      </c>
      <c r="B2550">
        <v>3055</v>
      </c>
      <c r="C2550" t="s">
        <v>5442</v>
      </c>
      <c r="D2550" t="s">
        <v>5443</v>
      </c>
      <c r="E2550" t="s">
        <v>15</v>
      </c>
      <c r="F2550" t="s">
        <v>5444</v>
      </c>
      <c r="G2550" t="str">
        <f>"00859802"</f>
        <v>00859802</v>
      </c>
      <c r="H2550">
        <v>37.6</v>
      </c>
      <c r="I2550">
        <v>0</v>
      </c>
      <c r="L2550">
        <v>4</v>
      </c>
      <c r="M2550">
        <v>4</v>
      </c>
      <c r="N2550">
        <v>4</v>
      </c>
      <c r="O2550">
        <v>0</v>
      </c>
      <c r="P2550">
        <v>45.6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v>0</v>
      </c>
      <c r="AA2550">
        <v>0</v>
      </c>
      <c r="AC2550">
        <v>45.6</v>
      </c>
    </row>
    <row r="2551" spans="1:29">
      <c r="A2551">
        <v>2544</v>
      </c>
      <c r="B2551">
        <v>4152</v>
      </c>
      <c r="C2551" t="s">
        <v>571</v>
      </c>
      <c r="D2551" t="s">
        <v>3193</v>
      </c>
      <c r="E2551" t="s">
        <v>436</v>
      </c>
      <c r="F2551" t="s">
        <v>5446</v>
      </c>
      <c r="G2551" t="str">
        <f>"00400057"</f>
        <v>00400057</v>
      </c>
      <c r="H2551">
        <v>35.6</v>
      </c>
      <c r="I2551">
        <v>10</v>
      </c>
      <c r="M2551">
        <v>0</v>
      </c>
      <c r="N2551">
        <v>0</v>
      </c>
      <c r="O2551">
        <v>0</v>
      </c>
      <c r="P2551">
        <v>45.6</v>
      </c>
      <c r="Q2551">
        <v>0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v>0</v>
      </c>
      <c r="AA2551">
        <v>0</v>
      </c>
      <c r="AC2551">
        <v>45.6</v>
      </c>
    </row>
    <row r="2552" spans="1:29">
      <c r="A2552">
        <v>2545</v>
      </c>
      <c r="B2552">
        <v>170</v>
      </c>
      <c r="C2552" t="s">
        <v>5447</v>
      </c>
      <c r="D2552" t="s">
        <v>227</v>
      </c>
      <c r="E2552" t="s">
        <v>66</v>
      </c>
      <c r="F2552" t="s">
        <v>5448</v>
      </c>
      <c r="G2552" t="str">
        <f>"00855815"</f>
        <v>00855815</v>
      </c>
      <c r="H2552">
        <v>31.6</v>
      </c>
      <c r="I2552">
        <v>10</v>
      </c>
      <c r="M2552">
        <v>0</v>
      </c>
      <c r="N2552">
        <v>4</v>
      </c>
      <c r="O2552">
        <v>0</v>
      </c>
      <c r="P2552">
        <v>45.6</v>
      </c>
      <c r="Q2552">
        <v>0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0</v>
      </c>
      <c r="Z2552">
        <v>0</v>
      </c>
      <c r="AA2552">
        <v>0</v>
      </c>
      <c r="AC2552">
        <v>45.6</v>
      </c>
    </row>
    <row r="2553" spans="1:29">
      <c r="A2553">
        <v>2546</v>
      </c>
      <c r="B2553">
        <v>4256</v>
      </c>
      <c r="C2553" t="s">
        <v>5449</v>
      </c>
      <c r="D2553" t="s">
        <v>1087</v>
      </c>
      <c r="E2553" t="s">
        <v>36</v>
      </c>
      <c r="F2553" t="s">
        <v>5450</v>
      </c>
      <c r="G2553" t="str">
        <f>"00250599"</f>
        <v>00250599</v>
      </c>
      <c r="H2553">
        <v>14.76</v>
      </c>
      <c r="I2553">
        <v>0</v>
      </c>
      <c r="M2553">
        <v>0</v>
      </c>
      <c r="N2553">
        <v>4</v>
      </c>
      <c r="O2553">
        <v>0</v>
      </c>
      <c r="P2553">
        <v>18.760000000000002</v>
      </c>
      <c r="Q2553">
        <v>0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0</v>
      </c>
      <c r="Z2553">
        <v>0</v>
      </c>
      <c r="AA2553">
        <v>26.8</v>
      </c>
      <c r="AC2553">
        <v>45.56</v>
      </c>
    </row>
    <row r="2554" spans="1:29">
      <c r="A2554">
        <v>2547</v>
      </c>
      <c r="B2554">
        <v>2024</v>
      </c>
      <c r="C2554" t="s">
        <v>5451</v>
      </c>
      <c r="D2554" t="s">
        <v>27</v>
      </c>
      <c r="E2554" t="s">
        <v>156</v>
      </c>
      <c r="F2554" t="s">
        <v>5452</v>
      </c>
      <c r="G2554" t="str">
        <f>"00863573"</f>
        <v>00863573</v>
      </c>
      <c r="H2554">
        <v>39.56</v>
      </c>
      <c r="I2554">
        <v>0</v>
      </c>
      <c r="M2554">
        <v>0</v>
      </c>
      <c r="N2554">
        <v>0</v>
      </c>
      <c r="O2554">
        <v>0</v>
      </c>
      <c r="P2554">
        <v>39.56</v>
      </c>
      <c r="Q2554">
        <v>0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0</v>
      </c>
      <c r="Z2554">
        <v>6</v>
      </c>
      <c r="AA2554">
        <v>0</v>
      </c>
      <c r="AC2554">
        <v>45.56</v>
      </c>
    </row>
    <row r="2555" spans="1:29">
      <c r="A2555">
        <v>2548</v>
      </c>
      <c r="B2555">
        <v>554</v>
      </c>
      <c r="C2555" t="s">
        <v>5453</v>
      </c>
      <c r="D2555" t="s">
        <v>5454</v>
      </c>
      <c r="E2555" t="s">
        <v>79</v>
      </c>
      <c r="F2555" t="s">
        <v>5455</v>
      </c>
      <c r="G2555" t="str">
        <f>"201206000082"</f>
        <v>201206000082</v>
      </c>
      <c r="H2555">
        <v>14.4</v>
      </c>
      <c r="I2555">
        <v>10</v>
      </c>
      <c r="L2555">
        <v>4</v>
      </c>
      <c r="M2555">
        <v>4</v>
      </c>
      <c r="N2555">
        <v>4</v>
      </c>
      <c r="O2555">
        <v>2</v>
      </c>
      <c r="P2555">
        <v>34.4</v>
      </c>
      <c r="Q2555">
        <v>5</v>
      </c>
      <c r="R2555">
        <v>5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5</v>
      </c>
      <c r="Z2555">
        <v>6</v>
      </c>
      <c r="AA2555">
        <v>0</v>
      </c>
      <c r="AC2555">
        <v>45.4</v>
      </c>
    </row>
    <row r="2556" spans="1:29">
      <c r="A2556">
        <v>2549</v>
      </c>
      <c r="B2556">
        <v>2023</v>
      </c>
      <c r="C2556" t="s">
        <v>897</v>
      </c>
      <c r="D2556" t="s">
        <v>185</v>
      </c>
      <c r="E2556" t="s">
        <v>237</v>
      </c>
      <c r="F2556" t="s">
        <v>5456</v>
      </c>
      <c r="G2556" t="str">
        <f>"00092971"</f>
        <v>00092971</v>
      </c>
      <c r="H2556">
        <v>38.4</v>
      </c>
      <c r="I2556">
        <v>0</v>
      </c>
      <c r="M2556">
        <v>0</v>
      </c>
      <c r="N2556">
        <v>4</v>
      </c>
      <c r="O2556">
        <v>0</v>
      </c>
      <c r="P2556">
        <v>42.4</v>
      </c>
      <c r="Q2556">
        <v>0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0</v>
      </c>
      <c r="Z2556">
        <v>3</v>
      </c>
      <c r="AA2556">
        <v>0</v>
      </c>
      <c r="AC2556">
        <v>45.4</v>
      </c>
    </row>
    <row r="2557" spans="1:29">
      <c r="A2557">
        <v>2550</v>
      </c>
      <c r="B2557">
        <v>1331</v>
      </c>
      <c r="C2557" t="s">
        <v>5457</v>
      </c>
      <c r="D2557" t="s">
        <v>515</v>
      </c>
      <c r="E2557" t="s">
        <v>237</v>
      </c>
      <c r="F2557" t="s">
        <v>5458</v>
      </c>
      <c r="G2557" t="str">
        <f>"00356833"</f>
        <v>00356833</v>
      </c>
      <c r="H2557">
        <v>14.4</v>
      </c>
      <c r="I2557">
        <v>10</v>
      </c>
      <c r="M2557">
        <v>0</v>
      </c>
      <c r="N2557">
        <v>4</v>
      </c>
      <c r="O2557">
        <v>0</v>
      </c>
      <c r="P2557">
        <v>28.4</v>
      </c>
      <c r="Q2557">
        <v>17</v>
      </c>
      <c r="R2557">
        <v>17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17</v>
      </c>
      <c r="Z2557">
        <v>0</v>
      </c>
      <c r="AA2557">
        <v>0</v>
      </c>
      <c r="AC2557">
        <v>45.4</v>
      </c>
    </row>
    <row r="2558" spans="1:29">
      <c r="A2558">
        <v>2551</v>
      </c>
      <c r="B2558">
        <v>4540</v>
      </c>
      <c r="C2558" t="s">
        <v>5459</v>
      </c>
      <c r="D2558" t="s">
        <v>86</v>
      </c>
      <c r="E2558" t="s">
        <v>134</v>
      </c>
      <c r="F2558" t="s">
        <v>5460</v>
      </c>
      <c r="G2558" t="str">
        <f>"00484952"</f>
        <v>00484952</v>
      </c>
      <c r="H2558">
        <v>14.4</v>
      </c>
      <c r="I2558">
        <v>0</v>
      </c>
      <c r="M2558">
        <v>0</v>
      </c>
      <c r="N2558">
        <v>4</v>
      </c>
      <c r="O2558">
        <v>2</v>
      </c>
      <c r="P2558">
        <v>20.399999999999999</v>
      </c>
      <c r="Q2558">
        <v>25</v>
      </c>
      <c r="R2558">
        <v>25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25</v>
      </c>
      <c r="Z2558">
        <v>0</v>
      </c>
      <c r="AA2558">
        <v>0</v>
      </c>
      <c r="AC2558">
        <v>45.4</v>
      </c>
    </row>
    <row r="2559" spans="1:29">
      <c r="A2559">
        <v>2552</v>
      </c>
      <c r="B2559">
        <v>4015</v>
      </c>
      <c r="C2559" t="s">
        <v>1792</v>
      </c>
      <c r="D2559" t="s">
        <v>175</v>
      </c>
      <c r="E2559" t="s">
        <v>89</v>
      </c>
      <c r="F2559" t="s">
        <v>5461</v>
      </c>
      <c r="G2559" t="str">
        <f>"00678267"</f>
        <v>00678267</v>
      </c>
      <c r="H2559">
        <v>36.36</v>
      </c>
      <c r="I2559">
        <v>0</v>
      </c>
      <c r="M2559">
        <v>0</v>
      </c>
      <c r="N2559">
        <v>0</v>
      </c>
      <c r="O2559">
        <v>0</v>
      </c>
      <c r="P2559">
        <v>36.36</v>
      </c>
      <c r="Q2559">
        <v>0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0</v>
      </c>
      <c r="Z2559">
        <v>9</v>
      </c>
      <c r="AA2559">
        <v>0</v>
      </c>
      <c r="AC2559">
        <v>45.36</v>
      </c>
    </row>
    <row r="2560" spans="1:29">
      <c r="A2560">
        <v>2553</v>
      </c>
      <c r="B2560">
        <v>1874</v>
      </c>
      <c r="C2560" t="s">
        <v>351</v>
      </c>
      <c r="D2560" t="s">
        <v>17</v>
      </c>
      <c r="E2560" t="s">
        <v>227</v>
      </c>
      <c r="F2560" t="s">
        <v>5462</v>
      </c>
      <c r="G2560" t="str">
        <f>"00367503"</f>
        <v>00367503</v>
      </c>
      <c r="H2560">
        <v>28.28</v>
      </c>
      <c r="I2560">
        <v>10</v>
      </c>
      <c r="M2560">
        <v>0</v>
      </c>
      <c r="N2560">
        <v>4</v>
      </c>
      <c r="O2560">
        <v>0</v>
      </c>
      <c r="P2560">
        <v>42.28</v>
      </c>
      <c r="Q2560">
        <v>0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0</v>
      </c>
      <c r="Z2560">
        <v>3</v>
      </c>
      <c r="AA2560">
        <v>0</v>
      </c>
      <c r="AC2560">
        <v>45.28</v>
      </c>
    </row>
    <row r="2561" spans="1:29">
      <c r="A2561">
        <v>2554</v>
      </c>
      <c r="B2561">
        <v>1177</v>
      </c>
      <c r="C2561" t="s">
        <v>5463</v>
      </c>
      <c r="D2561" t="s">
        <v>145</v>
      </c>
      <c r="E2561" t="s">
        <v>5464</v>
      </c>
      <c r="F2561" t="s">
        <v>5465</v>
      </c>
      <c r="G2561" t="str">
        <f>"00781280"</f>
        <v>00781280</v>
      </c>
      <c r="H2561">
        <v>27.28</v>
      </c>
      <c r="I2561">
        <v>10</v>
      </c>
      <c r="L2561">
        <v>4</v>
      </c>
      <c r="M2561">
        <v>4</v>
      </c>
      <c r="N2561">
        <v>4</v>
      </c>
      <c r="O2561">
        <v>0</v>
      </c>
      <c r="P2561">
        <v>45.28</v>
      </c>
      <c r="Q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0</v>
      </c>
      <c r="AC2561">
        <v>45.28</v>
      </c>
    </row>
    <row r="2562" spans="1:29">
      <c r="A2562">
        <v>2555</v>
      </c>
      <c r="B2562">
        <v>1198</v>
      </c>
      <c r="C2562" t="s">
        <v>5466</v>
      </c>
      <c r="D2562" t="s">
        <v>167</v>
      </c>
      <c r="E2562" t="s">
        <v>28</v>
      </c>
      <c r="F2562" t="s">
        <v>5467</v>
      </c>
      <c r="G2562" t="str">
        <f>"00824030"</f>
        <v>00824030</v>
      </c>
      <c r="H2562">
        <v>37.24</v>
      </c>
      <c r="I2562">
        <v>0</v>
      </c>
      <c r="M2562">
        <v>0</v>
      </c>
      <c r="N2562">
        <v>0</v>
      </c>
      <c r="O2562">
        <v>2</v>
      </c>
      <c r="P2562">
        <v>39.24</v>
      </c>
      <c r="Q2562">
        <v>0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0</v>
      </c>
      <c r="Z2562">
        <v>6</v>
      </c>
      <c r="AA2562">
        <v>0</v>
      </c>
      <c r="AC2562">
        <v>45.24</v>
      </c>
    </row>
    <row r="2563" spans="1:29">
      <c r="A2563">
        <v>2556</v>
      </c>
      <c r="B2563">
        <v>2258</v>
      </c>
      <c r="C2563" t="s">
        <v>5468</v>
      </c>
      <c r="D2563" t="s">
        <v>185</v>
      </c>
      <c r="E2563" t="s">
        <v>227</v>
      </c>
      <c r="F2563" t="s">
        <v>5469</v>
      </c>
      <c r="G2563" t="str">
        <f>"00531104"</f>
        <v>00531104</v>
      </c>
      <c r="H2563">
        <v>7.2</v>
      </c>
      <c r="I2563">
        <v>0</v>
      </c>
      <c r="J2563">
        <v>8</v>
      </c>
      <c r="M2563">
        <v>8</v>
      </c>
      <c r="N2563">
        <v>4</v>
      </c>
      <c r="O2563">
        <v>0</v>
      </c>
      <c r="P2563">
        <v>19.2</v>
      </c>
      <c r="Q2563">
        <v>17</v>
      </c>
      <c r="R2563">
        <v>17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17</v>
      </c>
      <c r="Z2563">
        <v>9</v>
      </c>
      <c r="AA2563">
        <v>0</v>
      </c>
      <c r="AC2563">
        <v>45.2</v>
      </c>
    </row>
    <row r="2564" spans="1:29">
      <c r="A2564">
        <v>2557</v>
      </c>
      <c r="B2564">
        <v>722</v>
      </c>
      <c r="C2564" t="s">
        <v>5470</v>
      </c>
      <c r="D2564" t="s">
        <v>1370</v>
      </c>
      <c r="E2564" t="s">
        <v>134</v>
      </c>
      <c r="F2564" t="s">
        <v>5471</v>
      </c>
      <c r="G2564" t="str">
        <f>"00282349"</f>
        <v>00282349</v>
      </c>
      <c r="H2564">
        <v>39.200000000000003</v>
      </c>
      <c r="I2564">
        <v>0</v>
      </c>
      <c r="M2564">
        <v>0</v>
      </c>
      <c r="N2564">
        <v>0</v>
      </c>
      <c r="O2564">
        <v>0</v>
      </c>
      <c r="P2564">
        <v>39.200000000000003</v>
      </c>
      <c r="Q2564">
        <v>0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0</v>
      </c>
      <c r="Z2564">
        <v>6</v>
      </c>
      <c r="AA2564">
        <v>0</v>
      </c>
      <c r="AC2564">
        <v>45.2</v>
      </c>
    </row>
    <row r="2565" spans="1:29">
      <c r="A2565">
        <v>2558</v>
      </c>
      <c r="B2565">
        <v>4874</v>
      </c>
      <c r="C2565" t="s">
        <v>5472</v>
      </c>
      <c r="D2565" t="s">
        <v>733</v>
      </c>
      <c r="E2565" t="s">
        <v>36</v>
      </c>
      <c r="F2565" t="s">
        <v>5473</v>
      </c>
      <c r="G2565" t="str">
        <f>"00865511"</f>
        <v>00865511</v>
      </c>
      <c r="H2565">
        <v>39.200000000000003</v>
      </c>
      <c r="I2565">
        <v>0</v>
      </c>
      <c r="M2565">
        <v>0</v>
      </c>
      <c r="N2565">
        <v>0</v>
      </c>
      <c r="O2565">
        <v>0</v>
      </c>
      <c r="P2565">
        <v>39.200000000000003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0</v>
      </c>
      <c r="Z2565">
        <v>6</v>
      </c>
      <c r="AA2565">
        <v>0</v>
      </c>
      <c r="AC2565">
        <v>45.2</v>
      </c>
    </row>
    <row r="2566" spans="1:29">
      <c r="A2566">
        <v>2559</v>
      </c>
      <c r="B2566">
        <v>2836</v>
      </c>
      <c r="C2566" t="s">
        <v>5474</v>
      </c>
      <c r="D2566" t="s">
        <v>175</v>
      </c>
      <c r="E2566" t="s">
        <v>79</v>
      </c>
      <c r="F2566" t="s">
        <v>5475</v>
      </c>
      <c r="G2566" t="str">
        <f>"00708937"</f>
        <v>00708937</v>
      </c>
      <c r="H2566">
        <v>43.2</v>
      </c>
      <c r="I2566">
        <v>0</v>
      </c>
      <c r="M2566">
        <v>0</v>
      </c>
      <c r="N2566">
        <v>0</v>
      </c>
      <c r="O2566">
        <v>2</v>
      </c>
      <c r="P2566">
        <v>45.2</v>
      </c>
      <c r="Q2566">
        <v>0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0</v>
      </c>
      <c r="Z2566">
        <v>0</v>
      </c>
      <c r="AA2566">
        <v>0</v>
      </c>
      <c r="AC2566">
        <v>45.2</v>
      </c>
    </row>
    <row r="2567" spans="1:29">
      <c r="A2567">
        <v>2560</v>
      </c>
      <c r="B2567">
        <v>2587</v>
      </c>
      <c r="C2567" t="s">
        <v>5476</v>
      </c>
      <c r="D2567" t="s">
        <v>5477</v>
      </c>
      <c r="E2567" t="s">
        <v>2020</v>
      </c>
      <c r="F2567" t="s">
        <v>5478</v>
      </c>
      <c r="G2567" t="str">
        <f>"00383508"</f>
        <v>00383508</v>
      </c>
      <c r="H2567">
        <v>39.200000000000003</v>
      </c>
      <c r="I2567">
        <v>0</v>
      </c>
      <c r="M2567">
        <v>0</v>
      </c>
      <c r="N2567">
        <v>4</v>
      </c>
      <c r="O2567">
        <v>2</v>
      </c>
      <c r="P2567">
        <v>45.2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0</v>
      </c>
      <c r="AA2567">
        <v>0</v>
      </c>
      <c r="AC2567">
        <v>45.2</v>
      </c>
    </row>
    <row r="2568" spans="1:29">
      <c r="A2568">
        <v>2561</v>
      </c>
      <c r="B2568">
        <v>4948</v>
      </c>
      <c r="C2568" t="s">
        <v>5479</v>
      </c>
      <c r="D2568" t="s">
        <v>39</v>
      </c>
      <c r="E2568" t="s">
        <v>5480</v>
      </c>
      <c r="F2568" t="s">
        <v>5481</v>
      </c>
      <c r="G2568" t="str">
        <f>"00863336"</f>
        <v>00863336</v>
      </c>
      <c r="H2568">
        <v>39.200000000000003</v>
      </c>
      <c r="I2568">
        <v>0</v>
      </c>
      <c r="M2568">
        <v>0</v>
      </c>
      <c r="N2568">
        <v>4</v>
      </c>
      <c r="O2568">
        <v>2</v>
      </c>
      <c r="P2568">
        <v>45.2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0</v>
      </c>
      <c r="AA2568">
        <v>0</v>
      </c>
      <c r="AC2568">
        <v>45.2</v>
      </c>
    </row>
    <row r="2569" spans="1:29">
      <c r="A2569">
        <v>2562</v>
      </c>
      <c r="B2569">
        <v>1093</v>
      </c>
      <c r="C2569" t="s">
        <v>505</v>
      </c>
      <c r="D2569" t="s">
        <v>4816</v>
      </c>
      <c r="E2569" t="s">
        <v>50</v>
      </c>
      <c r="F2569" t="s">
        <v>5482</v>
      </c>
      <c r="G2569" t="str">
        <f>"00858820"</f>
        <v>00858820</v>
      </c>
      <c r="H2569">
        <v>37.200000000000003</v>
      </c>
      <c r="I2569">
        <v>0</v>
      </c>
      <c r="L2569">
        <v>4</v>
      </c>
      <c r="M2569">
        <v>4</v>
      </c>
      <c r="N2569">
        <v>4</v>
      </c>
      <c r="O2569">
        <v>0</v>
      </c>
      <c r="P2569">
        <v>45.2</v>
      </c>
      <c r="Q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v>0</v>
      </c>
      <c r="AA2569">
        <v>0</v>
      </c>
      <c r="AC2569">
        <v>45.2</v>
      </c>
    </row>
    <row r="2570" spans="1:29">
      <c r="A2570">
        <v>2563</v>
      </c>
      <c r="B2570">
        <v>3377</v>
      </c>
      <c r="C2570" t="s">
        <v>5485</v>
      </c>
      <c r="D2570" t="s">
        <v>27</v>
      </c>
      <c r="E2570" t="s">
        <v>89</v>
      </c>
      <c r="F2570" t="s">
        <v>5486</v>
      </c>
      <c r="G2570" t="str">
        <f>"00321080"</f>
        <v>00321080</v>
      </c>
      <c r="H2570">
        <v>35.200000000000003</v>
      </c>
      <c r="I2570">
        <v>0</v>
      </c>
      <c r="L2570">
        <v>4</v>
      </c>
      <c r="M2570">
        <v>4</v>
      </c>
      <c r="N2570">
        <v>4</v>
      </c>
      <c r="O2570">
        <v>2</v>
      </c>
      <c r="P2570">
        <v>45.2</v>
      </c>
      <c r="Q2570">
        <v>0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v>0</v>
      </c>
      <c r="AA2570">
        <v>0</v>
      </c>
      <c r="AC2570">
        <v>45.2</v>
      </c>
    </row>
    <row r="2571" spans="1:29">
      <c r="A2571">
        <v>2564</v>
      </c>
      <c r="B2571">
        <v>3329</v>
      </c>
      <c r="C2571" t="s">
        <v>5483</v>
      </c>
      <c r="D2571" t="s">
        <v>733</v>
      </c>
      <c r="E2571" t="s">
        <v>647</v>
      </c>
      <c r="F2571" t="s">
        <v>5484</v>
      </c>
      <c r="G2571" t="str">
        <f>"00853951"</f>
        <v>00853951</v>
      </c>
      <c r="H2571">
        <v>35.200000000000003</v>
      </c>
      <c r="I2571">
        <v>10</v>
      </c>
      <c r="M2571">
        <v>0</v>
      </c>
      <c r="N2571">
        <v>0</v>
      </c>
      <c r="O2571">
        <v>0</v>
      </c>
      <c r="P2571">
        <v>45.2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0</v>
      </c>
      <c r="Z2571">
        <v>0</v>
      </c>
      <c r="AA2571">
        <v>0</v>
      </c>
      <c r="AC2571">
        <v>45.2</v>
      </c>
    </row>
    <row r="2572" spans="1:29">
      <c r="A2572">
        <v>2565</v>
      </c>
      <c r="B2572">
        <v>3380</v>
      </c>
      <c r="C2572" t="s">
        <v>5487</v>
      </c>
      <c r="D2572" t="s">
        <v>5488</v>
      </c>
      <c r="E2572" t="s">
        <v>337</v>
      </c>
      <c r="F2572" t="s">
        <v>5489</v>
      </c>
      <c r="G2572" t="str">
        <f>"00529899"</f>
        <v>00529899</v>
      </c>
      <c r="H2572">
        <v>7.2</v>
      </c>
      <c r="I2572">
        <v>0</v>
      </c>
      <c r="M2572">
        <v>0</v>
      </c>
      <c r="N2572">
        <v>4</v>
      </c>
      <c r="O2572">
        <v>2</v>
      </c>
      <c r="P2572">
        <v>13.2</v>
      </c>
      <c r="Q2572">
        <v>32</v>
      </c>
      <c r="R2572">
        <v>32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32</v>
      </c>
      <c r="Z2572">
        <v>0</v>
      </c>
      <c r="AA2572">
        <v>0</v>
      </c>
      <c r="AC2572">
        <v>45.2</v>
      </c>
    </row>
    <row r="2573" spans="1:29">
      <c r="A2573">
        <v>2566</v>
      </c>
      <c r="B2573">
        <v>2615</v>
      </c>
      <c r="C2573" t="s">
        <v>3605</v>
      </c>
      <c r="D2573" t="s">
        <v>433</v>
      </c>
      <c r="E2573" t="s">
        <v>1450</v>
      </c>
      <c r="F2573" t="s">
        <v>5490</v>
      </c>
      <c r="G2573" t="str">
        <f>"00375441"</f>
        <v>00375441</v>
      </c>
      <c r="H2573">
        <v>34.159999999999997</v>
      </c>
      <c r="I2573">
        <v>0</v>
      </c>
      <c r="L2573">
        <v>4</v>
      </c>
      <c r="M2573">
        <v>4</v>
      </c>
      <c r="N2573">
        <v>4</v>
      </c>
      <c r="O2573">
        <v>0</v>
      </c>
      <c r="P2573">
        <v>42.16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0</v>
      </c>
      <c r="Z2573">
        <v>3</v>
      </c>
      <c r="AA2573">
        <v>0</v>
      </c>
      <c r="AC2573">
        <v>45.16</v>
      </c>
    </row>
    <row r="2574" spans="1:29">
      <c r="A2574">
        <v>2567</v>
      </c>
      <c r="B2574">
        <v>141</v>
      </c>
      <c r="C2574" t="s">
        <v>5491</v>
      </c>
      <c r="D2574" t="s">
        <v>790</v>
      </c>
      <c r="E2574" t="s">
        <v>1813</v>
      </c>
      <c r="F2574" t="s">
        <v>5492</v>
      </c>
      <c r="G2574" t="str">
        <f>"00857711"</f>
        <v>00857711</v>
      </c>
      <c r="H2574">
        <v>39.119999999999997</v>
      </c>
      <c r="I2574">
        <v>0</v>
      </c>
      <c r="M2574">
        <v>0</v>
      </c>
      <c r="N2574">
        <v>0</v>
      </c>
      <c r="O2574">
        <v>0</v>
      </c>
      <c r="P2574">
        <v>39.119999999999997</v>
      </c>
      <c r="Q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6</v>
      </c>
      <c r="AA2574">
        <v>0</v>
      </c>
      <c r="AC2574">
        <v>45.12</v>
      </c>
    </row>
    <row r="2575" spans="1:29">
      <c r="A2575">
        <v>2568</v>
      </c>
      <c r="B2575">
        <v>1595</v>
      </c>
      <c r="C2575" t="s">
        <v>5493</v>
      </c>
      <c r="D2575" t="s">
        <v>790</v>
      </c>
      <c r="E2575" t="s">
        <v>564</v>
      </c>
      <c r="F2575" t="s">
        <v>5494</v>
      </c>
      <c r="G2575" t="str">
        <f>"00858096"</f>
        <v>00858096</v>
      </c>
      <c r="H2575">
        <v>25.08</v>
      </c>
      <c r="I2575">
        <v>10</v>
      </c>
      <c r="M2575">
        <v>0</v>
      </c>
      <c r="N2575">
        <v>4</v>
      </c>
      <c r="O2575">
        <v>0</v>
      </c>
      <c r="P2575">
        <v>39.08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6</v>
      </c>
      <c r="AA2575">
        <v>0</v>
      </c>
      <c r="AC2575">
        <v>45.08</v>
      </c>
    </row>
    <row r="2576" spans="1:29">
      <c r="A2576">
        <v>2569</v>
      </c>
      <c r="B2576">
        <v>2088</v>
      </c>
      <c r="C2576" t="s">
        <v>5495</v>
      </c>
      <c r="D2576" t="s">
        <v>39</v>
      </c>
      <c r="E2576" t="s">
        <v>18</v>
      </c>
      <c r="F2576" t="s">
        <v>5496</v>
      </c>
      <c r="G2576" t="str">
        <f>"00841872"</f>
        <v>00841872</v>
      </c>
      <c r="H2576">
        <v>32</v>
      </c>
      <c r="I2576">
        <v>0</v>
      </c>
      <c r="L2576">
        <v>4</v>
      </c>
      <c r="M2576">
        <v>4</v>
      </c>
      <c r="N2576">
        <v>0</v>
      </c>
      <c r="O2576">
        <v>0</v>
      </c>
      <c r="P2576">
        <v>36</v>
      </c>
      <c r="Q2576">
        <v>0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v>9</v>
      </c>
      <c r="AA2576">
        <v>0</v>
      </c>
      <c r="AC2576">
        <v>45</v>
      </c>
    </row>
    <row r="2577" spans="1:29">
      <c r="A2577">
        <v>2570</v>
      </c>
      <c r="B2577">
        <v>3810</v>
      </c>
      <c r="C2577" t="s">
        <v>5497</v>
      </c>
      <c r="D2577" t="s">
        <v>959</v>
      </c>
      <c r="E2577" t="s">
        <v>134</v>
      </c>
      <c r="F2577" t="s">
        <v>5498</v>
      </c>
      <c r="G2577" t="str">
        <f>"00515401"</f>
        <v>00515401</v>
      </c>
      <c r="H2577">
        <v>30</v>
      </c>
      <c r="I2577">
        <v>0</v>
      </c>
      <c r="M2577">
        <v>0</v>
      </c>
      <c r="N2577">
        <v>4</v>
      </c>
      <c r="O2577">
        <v>0</v>
      </c>
      <c r="P2577">
        <v>34</v>
      </c>
      <c r="Q2577">
        <v>5</v>
      </c>
      <c r="R2577">
        <v>5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5</v>
      </c>
      <c r="Z2577">
        <v>6</v>
      </c>
      <c r="AA2577">
        <v>0</v>
      </c>
      <c r="AC2577">
        <v>45</v>
      </c>
    </row>
    <row r="2578" spans="1:29">
      <c r="A2578">
        <v>2571</v>
      </c>
      <c r="B2578">
        <v>4434</v>
      </c>
      <c r="C2578" t="s">
        <v>5499</v>
      </c>
      <c r="D2578" t="s">
        <v>5500</v>
      </c>
      <c r="E2578" t="s">
        <v>15</v>
      </c>
      <c r="F2578" t="s">
        <v>5501</v>
      </c>
      <c r="G2578" t="str">
        <f>"00862507"</f>
        <v>00862507</v>
      </c>
      <c r="H2578">
        <v>40</v>
      </c>
      <c r="I2578">
        <v>0</v>
      </c>
      <c r="M2578">
        <v>0</v>
      </c>
      <c r="N2578">
        <v>0</v>
      </c>
      <c r="O2578">
        <v>2</v>
      </c>
      <c r="P2578">
        <v>42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0</v>
      </c>
      <c r="Z2578">
        <v>3</v>
      </c>
      <c r="AA2578">
        <v>0</v>
      </c>
      <c r="AC2578">
        <v>45</v>
      </c>
    </row>
    <row r="2579" spans="1:29">
      <c r="A2579">
        <v>2572</v>
      </c>
      <c r="B2579">
        <v>3499</v>
      </c>
      <c r="C2579" t="s">
        <v>5502</v>
      </c>
      <c r="D2579" t="s">
        <v>102</v>
      </c>
      <c r="E2579" t="s">
        <v>322</v>
      </c>
      <c r="F2579" t="s">
        <v>5503</v>
      </c>
      <c r="G2579" t="str">
        <f>"201511015908"</f>
        <v>201511015908</v>
      </c>
      <c r="H2579">
        <v>28</v>
      </c>
      <c r="I2579">
        <v>10</v>
      </c>
      <c r="M2579">
        <v>0</v>
      </c>
      <c r="N2579">
        <v>4</v>
      </c>
      <c r="O2579">
        <v>0</v>
      </c>
      <c r="P2579">
        <v>42</v>
      </c>
      <c r="Q2579">
        <v>0</v>
      </c>
      <c r="R2579">
        <v>0</v>
      </c>
      <c r="S2579">
        <v>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0</v>
      </c>
      <c r="Z2579">
        <v>3</v>
      </c>
      <c r="AA2579">
        <v>0</v>
      </c>
      <c r="AC2579">
        <v>45</v>
      </c>
    </row>
    <row r="2580" spans="1:29">
      <c r="A2580">
        <v>2573</v>
      </c>
      <c r="B2580">
        <v>2385</v>
      </c>
      <c r="C2580" t="s">
        <v>5504</v>
      </c>
      <c r="D2580" t="s">
        <v>52</v>
      </c>
      <c r="E2580" t="s">
        <v>66</v>
      </c>
      <c r="F2580" t="s">
        <v>5505</v>
      </c>
      <c r="G2580" t="str">
        <f>"00531607"</f>
        <v>00531607</v>
      </c>
      <c r="H2580">
        <v>36</v>
      </c>
      <c r="I2580">
        <v>0</v>
      </c>
      <c r="L2580">
        <v>4</v>
      </c>
      <c r="M2580">
        <v>4</v>
      </c>
      <c r="N2580">
        <v>4</v>
      </c>
      <c r="O2580">
        <v>0</v>
      </c>
      <c r="P2580">
        <v>44</v>
      </c>
      <c r="Q2580">
        <v>1</v>
      </c>
      <c r="R2580">
        <v>1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1</v>
      </c>
      <c r="Z2580">
        <v>0</v>
      </c>
      <c r="AA2580">
        <v>0</v>
      </c>
      <c r="AC2580">
        <v>45</v>
      </c>
    </row>
    <row r="2581" spans="1:29">
      <c r="A2581">
        <v>2574</v>
      </c>
      <c r="B2581">
        <v>2744</v>
      </c>
      <c r="C2581" t="s">
        <v>5508</v>
      </c>
      <c r="D2581" t="s">
        <v>5509</v>
      </c>
      <c r="E2581" t="s">
        <v>66</v>
      </c>
      <c r="F2581" t="s">
        <v>5510</v>
      </c>
      <c r="G2581" t="str">
        <f>"00530429"</f>
        <v>00530429</v>
      </c>
      <c r="H2581">
        <v>0</v>
      </c>
      <c r="I2581">
        <v>0</v>
      </c>
      <c r="L2581">
        <v>4</v>
      </c>
      <c r="M2581">
        <v>4</v>
      </c>
      <c r="N2581">
        <v>0</v>
      </c>
      <c r="O2581">
        <v>0</v>
      </c>
      <c r="P2581">
        <v>4</v>
      </c>
      <c r="Q2581">
        <v>31</v>
      </c>
      <c r="R2581">
        <v>31</v>
      </c>
      <c r="S2581">
        <v>0</v>
      </c>
      <c r="T2581">
        <v>0</v>
      </c>
      <c r="U2581">
        <v>7</v>
      </c>
      <c r="V2581">
        <v>10</v>
      </c>
      <c r="W2581">
        <v>0</v>
      </c>
      <c r="X2581">
        <v>0</v>
      </c>
      <c r="Y2581">
        <v>41</v>
      </c>
      <c r="Z2581">
        <v>0</v>
      </c>
      <c r="AA2581">
        <v>0</v>
      </c>
      <c r="AC2581">
        <v>45</v>
      </c>
    </row>
    <row r="2582" spans="1:29">
      <c r="A2582">
        <v>2575</v>
      </c>
      <c r="B2582">
        <v>1868</v>
      </c>
      <c r="C2582" t="s">
        <v>5506</v>
      </c>
      <c r="D2582" t="s">
        <v>27</v>
      </c>
      <c r="E2582" t="s">
        <v>18</v>
      </c>
      <c r="F2582" t="s">
        <v>5507</v>
      </c>
      <c r="G2582" t="str">
        <f>"00518158"</f>
        <v>00518158</v>
      </c>
      <c r="H2582">
        <v>0</v>
      </c>
      <c r="I2582">
        <v>0</v>
      </c>
      <c r="M2582">
        <v>0</v>
      </c>
      <c r="N2582">
        <v>4</v>
      </c>
      <c r="O2582">
        <v>0</v>
      </c>
      <c r="P2582">
        <v>4</v>
      </c>
      <c r="Q2582">
        <v>41</v>
      </c>
      <c r="R2582">
        <v>41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41</v>
      </c>
      <c r="Z2582">
        <v>0</v>
      </c>
      <c r="AA2582">
        <v>0</v>
      </c>
      <c r="AC2582">
        <v>45</v>
      </c>
    </row>
    <row r="2583" spans="1:29">
      <c r="A2583">
        <v>2576</v>
      </c>
      <c r="B2583">
        <v>4658</v>
      </c>
      <c r="C2583" t="s">
        <v>1099</v>
      </c>
      <c r="D2583" t="s">
        <v>5511</v>
      </c>
      <c r="E2583" t="s">
        <v>5091</v>
      </c>
      <c r="F2583" t="s">
        <v>5512</v>
      </c>
      <c r="G2583" t="str">
        <f>"200803000690"</f>
        <v>200803000690</v>
      </c>
      <c r="H2583">
        <v>24.92</v>
      </c>
      <c r="I2583">
        <v>10</v>
      </c>
      <c r="L2583">
        <v>4</v>
      </c>
      <c r="M2583">
        <v>4</v>
      </c>
      <c r="N2583">
        <v>4</v>
      </c>
      <c r="O2583">
        <v>2</v>
      </c>
      <c r="P2583">
        <v>44.92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0</v>
      </c>
      <c r="Z2583">
        <v>0</v>
      </c>
      <c r="AA2583">
        <v>0</v>
      </c>
      <c r="AC2583">
        <v>44.92</v>
      </c>
    </row>
    <row r="2584" spans="1:29">
      <c r="A2584">
        <v>2577</v>
      </c>
      <c r="B2584">
        <v>3989</v>
      </c>
      <c r="C2584" t="s">
        <v>5513</v>
      </c>
      <c r="D2584" t="s">
        <v>52</v>
      </c>
      <c r="E2584" t="s">
        <v>18</v>
      </c>
      <c r="F2584" t="s">
        <v>5514</v>
      </c>
      <c r="G2584" t="str">
        <f>"00560163"</f>
        <v>00560163</v>
      </c>
      <c r="H2584">
        <v>28.8</v>
      </c>
      <c r="I2584">
        <v>0</v>
      </c>
      <c r="L2584">
        <v>4</v>
      </c>
      <c r="M2584">
        <v>4</v>
      </c>
      <c r="N2584">
        <v>4</v>
      </c>
      <c r="O2584">
        <v>2</v>
      </c>
      <c r="P2584">
        <v>38.799999999999997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6</v>
      </c>
      <c r="AA2584">
        <v>0</v>
      </c>
      <c r="AC2584">
        <v>44.8</v>
      </c>
    </row>
    <row r="2585" spans="1:29">
      <c r="A2585">
        <v>2578</v>
      </c>
      <c r="B2585">
        <v>4095</v>
      </c>
      <c r="C2585" t="s">
        <v>5515</v>
      </c>
      <c r="D2585" t="s">
        <v>261</v>
      </c>
      <c r="E2585" t="s">
        <v>15</v>
      </c>
      <c r="F2585" t="s">
        <v>5516</v>
      </c>
      <c r="G2585" t="str">
        <f>"00531846"</f>
        <v>00531846</v>
      </c>
      <c r="H2585">
        <v>25.8</v>
      </c>
      <c r="I2585">
        <v>10</v>
      </c>
      <c r="M2585">
        <v>0</v>
      </c>
      <c r="N2585">
        <v>4</v>
      </c>
      <c r="O2585">
        <v>2</v>
      </c>
      <c r="P2585">
        <v>41.8</v>
      </c>
      <c r="Q2585">
        <v>0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0</v>
      </c>
      <c r="Z2585">
        <v>3</v>
      </c>
      <c r="AA2585">
        <v>0</v>
      </c>
      <c r="AC2585">
        <v>44.8</v>
      </c>
    </row>
    <row r="2586" spans="1:29">
      <c r="A2586">
        <v>2579</v>
      </c>
      <c r="B2586">
        <v>2273</v>
      </c>
      <c r="C2586" t="s">
        <v>5517</v>
      </c>
      <c r="D2586" t="s">
        <v>2162</v>
      </c>
      <c r="E2586" t="s">
        <v>5334</v>
      </c>
      <c r="F2586" t="s">
        <v>5518</v>
      </c>
      <c r="G2586" t="str">
        <f>"00515149"</f>
        <v>00515149</v>
      </c>
      <c r="H2586">
        <v>28.8</v>
      </c>
      <c r="I2586">
        <v>0</v>
      </c>
      <c r="L2586">
        <v>4</v>
      </c>
      <c r="M2586">
        <v>4</v>
      </c>
      <c r="N2586">
        <v>4</v>
      </c>
      <c r="O2586">
        <v>0</v>
      </c>
      <c r="P2586">
        <v>36.799999999999997</v>
      </c>
      <c r="Q2586">
        <v>5</v>
      </c>
      <c r="R2586">
        <v>5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5</v>
      </c>
      <c r="Z2586">
        <v>3</v>
      </c>
      <c r="AA2586">
        <v>0</v>
      </c>
      <c r="AC2586">
        <v>44.8</v>
      </c>
    </row>
    <row r="2587" spans="1:29">
      <c r="A2587">
        <v>2580</v>
      </c>
      <c r="B2587">
        <v>298</v>
      </c>
      <c r="C2587" t="s">
        <v>5519</v>
      </c>
      <c r="D2587" t="s">
        <v>130</v>
      </c>
      <c r="E2587" t="s">
        <v>18</v>
      </c>
      <c r="F2587" t="s">
        <v>5520</v>
      </c>
      <c r="G2587" t="str">
        <f>"00765743"</f>
        <v>00765743</v>
      </c>
      <c r="H2587">
        <v>36.799999999999997</v>
      </c>
      <c r="I2587">
        <v>0</v>
      </c>
      <c r="L2587">
        <v>4</v>
      </c>
      <c r="M2587">
        <v>4</v>
      </c>
      <c r="N2587">
        <v>4</v>
      </c>
      <c r="O2587">
        <v>0</v>
      </c>
      <c r="P2587">
        <v>44.8</v>
      </c>
      <c r="Q2587">
        <v>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0</v>
      </c>
      <c r="AA2587">
        <v>0</v>
      </c>
      <c r="AC2587">
        <v>44.8</v>
      </c>
    </row>
    <row r="2588" spans="1:29">
      <c r="A2588">
        <v>2581</v>
      </c>
      <c r="B2588">
        <v>399</v>
      </c>
      <c r="C2588" t="s">
        <v>5521</v>
      </c>
      <c r="D2588" t="s">
        <v>27</v>
      </c>
      <c r="E2588" t="s">
        <v>237</v>
      </c>
      <c r="F2588" t="s">
        <v>5522</v>
      </c>
      <c r="G2588" t="str">
        <f>"00854455"</f>
        <v>00854455</v>
      </c>
      <c r="H2588">
        <v>36.799999999999997</v>
      </c>
      <c r="I2588">
        <v>0</v>
      </c>
      <c r="L2588">
        <v>4</v>
      </c>
      <c r="M2588">
        <v>4</v>
      </c>
      <c r="N2588">
        <v>4</v>
      </c>
      <c r="O2588">
        <v>0</v>
      </c>
      <c r="P2588">
        <v>44.8</v>
      </c>
      <c r="Q2588">
        <v>0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0</v>
      </c>
      <c r="Z2588">
        <v>0</v>
      </c>
      <c r="AA2588">
        <v>0</v>
      </c>
      <c r="AC2588">
        <v>44.8</v>
      </c>
    </row>
    <row r="2589" spans="1:29">
      <c r="A2589">
        <v>2582</v>
      </c>
      <c r="B2589">
        <v>3364</v>
      </c>
      <c r="C2589" t="s">
        <v>5523</v>
      </c>
      <c r="D2589" t="s">
        <v>141</v>
      </c>
      <c r="E2589" t="s">
        <v>227</v>
      </c>
      <c r="F2589" t="s">
        <v>5524</v>
      </c>
      <c r="G2589" t="str">
        <f>"00856877"</f>
        <v>00856877</v>
      </c>
      <c r="H2589">
        <v>28.8</v>
      </c>
      <c r="I2589">
        <v>10</v>
      </c>
      <c r="M2589">
        <v>0</v>
      </c>
      <c r="N2589">
        <v>4</v>
      </c>
      <c r="O2589">
        <v>2</v>
      </c>
      <c r="P2589">
        <v>44.8</v>
      </c>
      <c r="Q2589">
        <v>0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0</v>
      </c>
      <c r="Z2589">
        <v>0</v>
      </c>
      <c r="AA2589">
        <v>0</v>
      </c>
      <c r="AC2589">
        <v>44.8</v>
      </c>
    </row>
    <row r="2590" spans="1:29">
      <c r="A2590">
        <v>2583</v>
      </c>
      <c r="B2590">
        <v>3092</v>
      </c>
      <c r="C2590" t="s">
        <v>5525</v>
      </c>
      <c r="D2590" t="s">
        <v>4720</v>
      </c>
      <c r="E2590" t="s">
        <v>967</v>
      </c>
      <c r="F2590" t="s">
        <v>5526</v>
      </c>
      <c r="G2590" t="str">
        <f>"00523412"</f>
        <v>00523412</v>
      </c>
      <c r="H2590">
        <v>21.68</v>
      </c>
      <c r="I2590">
        <v>10</v>
      </c>
      <c r="M2590">
        <v>0</v>
      </c>
      <c r="N2590">
        <v>4</v>
      </c>
      <c r="O2590">
        <v>2</v>
      </c>
      <c r="P2590">
        <v>37.68</v>
      </c>
      <c r="Q2590">
        <v>7</v>
      </c>
      <c r="R2590">
        <v>7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7</v>
      </c>
      <c r="Z2590">
        <v>0</v>
      </c>
      <c r="AA2590">
        <v>0</v>
      </c>
      <c r="AC2590">
        <v>44.68</v>
      </c>
    </row>
    <row r="2591" spans="1:29">
      <c r="A2591">
        <v>2584</v>
      </c>
      <c r="B2591">
        <v>4063</v>
      </c>
      <c r="C2591" t="s">
        <v>5527</v>
      </c>
      <c r="D2591" t="s">
        <v>5528</v>
      </c>
      <c r="E2591" t="s">
        <v>165</v>
      </c>
      <c r="F2591" t="s">
        <v>5529</v>
      </c>
      <c r="G2591" t="str">
        <f>"00663740"</f>
        <v>00663740</v>
      </c>
      <c r="H2591">
        <v>37.6</v>
      </c>
      <c r="I2591">
        <v>0</v>
      </c>
      <c r="M2591">
        <v>0</v>
      </c>
      <c r="N2591">
        <v>4</v>
      </c>
      <c r="O2591">
        <v>0</v>
      </c>
      <c r="P2591">
        <v>41.6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v>3</v>
      </c>
      <c r="AA2591">
        <v>0</v>
      </c>
      <c r="AC2591">
        <v>44.6</v>
      </c>
    </row>
    <row r="2592" spans="1:29">
      <c r="A2592">
        <v>2585</v>
      </c>
      <c r="B2592">
        <v>4205</v>
      </c>
      <c r="C2592" t="s">
        <v>5530</v>
      </c>
      <c r="D2592" t="s">
        <v>20</v>
      </c>
      <c r="E2592" t="s">
        <v>410</v>
      </c>
      <c r="F2592" t="s">
        <v>5531</v>
      </c>
      <c r="G2592" t="str">
        <f>"00531441"</f>
        <v>00531441</v>
      </c>
      <c r="H2592">
        <v>21.6</v>
      </c>
      <c r="I2592">
        <v>0</v>
      </c>
      <c r="M2592">
        <v>0</v>
      </c>
      <c r="N2592">
        <v>4</v>
      </c>
      <c r="O2592">
        <v>2</v>
      </c>
      <c r="P2592">
        <v>27.6</v>
      </c>
      <c r="Q2592">
        <v>14</v>
      </c>
      <c r="R2592">
        <v>14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14</v>
      </c>
      <c r="Z2592">
        <v>3</v>
      </c>
      <c r="AA2592">
        <v>0</v>
      </c>
      <c r="AC2592">
        <v>44.6</v>
      </c>
    </row>
    <row r="2593" spans="1:29">
      <c r="A2593">
        <v>2586</v>
      </c>
      <c r="B2593">
        <v>2680</v>
      </c>
      <c r="C2593" t="s">
        <v>5532</v>
      </c>
      <c r="D2593" t="s">
        <v>39</v>
      </c>
      <c r="E2593" t="s">
        <v>187</v>
      </c>
      <c r="F2593" t="s">
        <v>5533</v>
      </c>
      <c r="G2593" t="str">
        <f>"00859912"</f>
        <v>00859912</v>
      </c>
      <c r="H2593">
        <v>35.56</v>
      </c>
      <c r="I2593">
        <v>0</v>
      </c>
      <c r="M2593">
        <v>0</v>
      </c>
      <c r="N2593">
        <v>0</v>
      </c>
      <c r="O2593">
        <v>0</v>
      </c>
      <c r="P2593">
        <v>35.56</v>
      </c>
      <c r="Q2593">
        <v>0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0</v>
      </c>
      <c r="Z2593">
        <v>9</v>
      </c>
      <c r="AA2593">
        <v>0</v>
      </c>
      <c r="AC2593">
        <v>44.56</v>
      </c>
    </row>
    <row r="2594" spans="1:29">
      <c r="A2594">
        <v>2587</v>
      </c>
      <c r="B2594">
        <v>2061</v>
      </c>
      <c r="C2594" t="s">
        <v>5534</v>
      </c>
      <c r="D2594" t="s">
        <v>5535</v>
      </c>
      <c r="E2594" t="s">
        <v>5091</v>
      </c>
      <c r="F2594" t="s">
        <v>5536</v>
      </c>
      <c r="G2594" t="str">
        <f>"00863561"</f>
        <v>00863561</v>
      </c>
      <c r="H2594">
        <v>34.56</v>
      </c>
      <c r="I2594">
        <v>0</v>
      </c>
      <c r="M2594">
        <v>0</v>
      </c>
      <c r="N2594">
        <v>4</v>
      </c>
      <c r="O2594">
        <v>0</v>
      </c>
      <c r="P2594">
        <v>38.56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  <c r="Y2594">
        <v>0</v>
      </c>
      <c r="Z2594">
        <v>6</v>
      </c>
      <c r="AA2594">
        <v>0</v>
      </c>
      <c r="AC2594">
        <v>44.56</v>
      </c>
    </row>
    <row r="2595" spans="1:29">
      <c r="A2595">
        <v>2588</v>
      </c>
      <c r="B2595">
        <v>3037</v>
      </c>
      <c r="C2595" t="s">
        <v>3960</v>
      </c>
      <c r="D2595" t="s">
        <v>279</v>
      </c>
      <c r="E2595" t="s">
        <v>89</v>
      </c>
      <c r="F2595" t="s">
        <v>5537</v>
      </c>
      <c r="G2595" t="str">
        <f>"00539059"</f>
        <v>00539059</v>
      </c>
      <c r="H2595">
        <v>28.52</v>
      </c>
      <c r="I2595">
        <v>10</v>
      </c>
      <c r="M2595">
        <v>0</v>
      </c>
      <c r="N2595">
        <v>4</v>
      </c>
      <c r="O2595">
        <v>2</v>
      </c>
      <c r="P2595">
        <v>44.52</v>
      </c>
      <c r="Q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  <c r="AA2595">
        <v>0</v>
      </c>
      <c r="AC2595">
        <v>44.52</v>
      </c>
    </row>
    <row r="2596" spans="1:29">
      <c r="A2596">
        <v>2589</v>
      </c>
      <c r="B2596">
        <v>1032</v>
      </c>
      <c r="C2596" t="s">
        <v>2068</v>
      </c>
      <c r="D2596" t="s">
        <v>248</v>
      </c>
      <c r="E2596" t="s">
        <v>36</v>
      </c>
      <c r="F2596" t="s">
        <v>5538</v>
      </c>
      <c r="G2596" t="str">
        <f>"00697456"</f>
        <v>00697456</v>
      </c>
      <c r="H2596">
        <v>38.4</v>
      </c>
      <c r="I2596">
        <v>0</v>
      </c>
      <c r="M2596">
        <v>0</v>
      </c>
      <c r="N2596">
        <v>0</v>
      </c>
      <c r="O2596">
        <v>0</v>
      </c>
      <c r="P2596">
        <v>38.4</v>
      </c>
      <c r="Q2596">
        <v>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6</v>
      </c>
      <c r="AA2596">
        <v>0</v>
      </c>
      <c r="AC2596">
        <v>44.4</v>
      </c>
    </row>
    <row r="2597" spans="1:29">
      <c r="A2597">
        <v>2590</v>
      </c>
      <c r="B2597">
        <v>2175</v>
      </c>
      <c r="C2597" t="s">
        <v>5539</v>
      </c>
      <c r="D2597" t="s">
        <v>27</v>
      </c>
      <c r="E2597" t="s">
        <v>224</v>
      </c>
      <c r="F2597" t="s">
        <v>5540</v>
      </c>
      <c r="G2597" t="str">
        <f>"00159797"</f>
        <v>00159797</v>
      </c>
      <c r="H2597">
        <v>14.4</v>
      </c>
      <c r="I2597">
        <v>0</v>
      </c>
      <c r="M2597">
        <v>0</v>
      </c>
      <c r="N2597">
        <v>4</v>
      </c>
      <c r="O2597">
        <v>0</v>
      </c>
      <c r="P2597">
        <v>18.399999999999999</v>
      </c>
      <c r="Q2597">
        <v>20</v>
      </c>
      <c r="R2597">
        <v>20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20</v>
      </c>
      <c r="Z2597">
        <v>6</v>
      </c>
      <c r="AA2597">
        <v>0</v>
      </c>
      <c r="AC2597">
        <v>44.4</v>
      </c>
    </row>
    <row r="2598" spans="1:29">
      <c r="A2598">
        <v>2591</v>
      </c>
      <c r="B2598">
        <v>1597</v>
      </c>
      <c r="C2598" t="s">
        <v>4631</v>
      </c>
      <c r="D2598" t="s">
        <v>1278</v>
      </c>
      <c r="E2598" t="s">
        <v>28</v>
      </c>
      <c r="F2598" t="s">
        <v>5541</v>
      </c>
      <c r="G2598" t="str">
        <f>"00530757"</f>
        <v>00530757</v>
      </c>
      <c r="H2598">
        <v>14.4</v>
      </c>
      <c r="I2598">
        <v>10</v>
      </c>
      <c r="M2598">
        <v>0</v>
      </c>
      <c r="N2598">
        <v>4</v>
      </c>
      <c r="O2598">
        <v>0</v>
      </c>
      <c r="P2598">
        <v>28.4</v>
      </c>
      <c r="Q2598">
        <v>13</v>
      </c>
      <c r="R2598">
        <v>13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13</v>
      </c>
      <c r="Z2598">
        <v>3</v>
      </c>
      <c r="AA2598">
        <v>0</v>
      </c>
      <c r="AC2598">
        <v>44.4</v>
      </c>
    </row>
    <row r="2599" spans="1:29">
      <c r="A2599">
        <v>2592</v>
      </c>
      <c r="B2599">
        <v>4359</v>
      </c>
      <c r="C2599" t="s">
        <v>5542</v>
      </c>
      <c r="D2599" t="s">
        <v>130</v>
      </c>
      <c r="E2599" t="s">
        <v>233</v>
      </c>
      <c r="F2599" t="s">
        <v>5543</v>
      </c>
      <c r="G2599" t="str">
        <f>"00865106"</f>
        <v>00865106</v>
      </c>
      <c r="H2599">
        <v>34.4</v>
      </c>
      <c r="I2599">
        <v>10</v>
      </c>
      <c r="M2599">
        <v>0</v>
      </c>
      <c r="N2599">
        <v>0</v>
      </c>
      <c r="O2599">
        <v>0</v>
      </c>
      <c r="P2599">
        <v>44.4</v>
      </c>
      <c r="Q2599">
        <v>0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v>0</v>
      </c>
      <c r="AA2599">
        <v>0</v>
      </c>
      <c r="AC2599">
        <v>44.4</v>
      </c>
    </row>
    <row r="2600" spans="1:29">
      <c r="A2600">
        <v>2593</v>
      </c>
      <c r="B2600">
        <v>493</v>
      </c>
      <c r="C2600" t="s">
        <v>3374</v>
      </c>
      <c r="D2600" t="s">
        <v>5268</v>
      </c>
      <c r="E2600" t="s">
        <v>777</v>
      </c>
      <c r="F2600" t="s">
        <v>5544</v>
      </c>
      <c r="G2600" t="str">
        <f>"200802011309"</f>
        <v>200802011309</v>
      </c>
      <c r="H2600">
        <v>34.4</v>
      </c>
      <c r="I2600">
        <v>0</v>
      </c>
      <c r="L2600">
        <v>4</v>
      </c>
      <c r="M2600">
        <v>4</v>
      </c>
      <c r="N2600">
        <v>4</v>
      </c>
      <c r="O2600">
        <v>2</v>
      </c>
      <c r="P2600">
        <v>44.4</v>
      </c>
      <c r="Q2600">
        <v>0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0</v>
      </c>
      <c r="Z2600">
        <v>0</v>
      </c>
      <c r="AA2600">
        <v>0</v>
      </c>
      <c r="AC2600">
        <v>44.4</v>
      </c>
    </row>
    <row r="2601" spans="1:29">
      <c r="A2601">
        <v>2594</v>
      </c>
      <c r="B2601">
        <v>2903</v>
      </c>
      <c r="C2601" t="s">
        <v>5547</v>
      </c>
      <c r="D2601" t="s">
        <v>185</v>
      </c>
      <c r="E2601" t="s">
        <v>66</v>
      </c>
      <c r="F2601" t="s">
        <v>5548</v>
      </c>
      <c r="G2601" t="str">
        <f>"201511015502"</f>
        <v>201511015502</v>
      </c>
      <c r="H2601">
        <v>28.36</v>
      </c>
      <c r="I2601">
        <v>10</v>
      </c>
      <c r="M2601">
        <v>0</v>
      </c>
      <c r="N2601">
        <v>4</v>
      </c>
      <c r="O2601">
        <v>2</v>
      </c>
      <c r="P2601">
        <v>44.36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0</v>
      </c>
      <c r="Z2601">
        <v>0</v>
      </c>
      <c r="AA2601">
        <v>0</v>
      </c>
      <c r="AC2601">
        <v>44.36</v>
      </c>
    </row>
    <row r="2602" spans="1:29">
      <c r="A2602">
        <v>2595</v>
      </c>
      <c r="B2602">
        <v>1936</v>
      </c>
      <c r="C2602" t="s">
        <v>5545</v>
      </c>
      <c r="D2602" t="s">
        <v>27</v>
      </c>
      <c r="E2602" t="s">
        <v>18</v>
      </c>
      <c r="F2602" t="s">
        <v>5546</v>
      </c>
      <c r="G2602" t="str">
        <f>"00798931"</f>
        <v>00798931</v>
      </c>
      <c r="H2602">
        <v>28.36</v>
      </c>
      <c r="I2602">
        <v>0</v>
      </c>
      <c r="K2602">
        <v>6</v>
      </c>
      <c r="L2602">
        <v>4</v>
      </c>
      <c r="M2602">
        <v>10</v>
      </c>
      <c r="N2602">
        <v>4</v>
      </c>
      <c r="O2602">
        <v>2</v>
      </c>
      <c r="P2602">
        <v>44.36</v>
      </c>
      <c r="Q2602">
        <v>0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0</v>
      </c>
      <c r="AA2602">
        <v>0</v>
      </c>
      <c r="AC2602">
        <v>44.36</v>
      </c>
    </row>
    <row r="2603" spans="1:29">
      <c r="A2603">
        <v>2596</v>
      </c>
      <c r="B2603">
        <v>1494</v>
      </c>
      <c r="C2603" t="s">
        <v>5549</v>
      </c>
      <c r="D2603" t="s">
        <v>52</v>
      </c>
      <c r="E2603" t="s">
        <v>156</v>
      </c>
      <c r="F2603" t="s">
        <v>5550</v>
      </c>
      <c r="G2603" t="str">
        <f>"00433063"</f>
        <v>00433063</v>
      </c>
      <c r="H2603">
        <v>28.32</v>
      </c>
      <c r="I2603">
        <v>0</v>
      </c>
      <c r="K2603">
        <v>6</v>
      </c>
      <c r="M2603">
        <v>6</v>
      </c>
      <c r="N2603">
        <v>4</v>
      </c>
      <c r="O2603">
        <v>0</v>
      </c>
      <c r="P2603">
        <v>38.32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6</v>
      </c>
      <c r="AA2603">
        <v>0</v>
      </c>
      <c r="AC2603">
        <v>44.32</v>
      </c>
    </row>
    <row r="2604" spans="1:29">
      <c r="A2604">
        <v>2597</v>
      </c>
      <c r="B2604">
        <v>3435</v>
      </c>
      <c r="C2604" t="s">
        <v>2167</v>
      </c>
      <c r="D2604" t="s">
        <v>27</v>
      </c>
      <c r="E2604" t="s">
        <v>79</v>
      </c>
      <c r="F2604" t="s">
        <v>5551</v>
      </c>
      <c r="G2604" t="str">
        <f>"00525384"</f>
        <v>00525384</v>
      </c>
      <c r="H2604">
        <v>18.28</v>
      </c>
      <c r="I2604">
        <v>0</v>
      </c>
      <c r="M2604">
        <v>0</v>
      </c>
      <c r="N2604">
        <v>4</v>
      </c>
      <c r="O2604">
        <v>0</v>
      </c>
      <c r="P2604">
        <v>22.28</v>
      </c>
      <c r="Q2604">
        <v>16</v>
      </c>
      <c r="R2604">
        <v>16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16</v>
      </c>
      <c r="Z2604">
        <v>6</v>
      </c>
      <c r="AA2604">
        <v>0</v>
      </c>
      <c r="AC2604">
        <v>44.28</v>
      </c>
    </row>
    <row r="2605" spans="1:29">
      <c r="A2605">
        <v>2598</v>
      </c>
      <c r="B2605">
        <v>3191</v>
      </c>
      <c r="C2605" t="s">
        <v>5552</v>
      </c>
      <c r="D2605" t="s">
        <v>870</v>
      </c>
      <c r="E2605" t="s">
        <v>18</v>
      </c>
      <c r="F2605" t="s">
        <v>5553</v>
      </c>
      <c r="G2605" t="str">
        <f>"201402012510"</f>
        <v>201402012510</v>
      </c>
      <c r="H2605">
        <v>12.24</v>
      </c>
      <c r="I2605">
        <v>0</v>
      </c>
      <c r="M2605">
        <v>0</v>
      </c>
      <c r="N2605">
        <v>0</v>
      </c>
      <c r="O2605">
        <v>0</v>
      </c>
      <c r="P2605">
        <v>12.24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v>0</v>
      </c>
      <c r="AA2605">
        <v>32</v>
      </c>
      <c r="AC2605">
        <v>44.24</v>
      </c>
    </row>
    <row r="2606" spans="1:29">
      <c r="A2606">
        <v>2599</v>
      </c>
      <c r="B2606">
        <v>966</v>
      </c>
      <c r="C2606" t="s">
        <v>5554</v>
      </c>
      <c r="D2606" t="s">
        <v>903</v>
      </c>
      <c r="E2606" t="s">
        <v>32</v>
      </c>
      <c r="F2606" t="s">
        <v>5555</v>
      </c>
      <c r="G2606" t="str">
        <f>"00858487"</f>
        <v>00858487</v>
      </c>
      <c r="H2606">
        <v>31.2</v>
      </c>
      <c r="I2606">
        <v>10</v>
      </c>
      <c r="M2606">
        <v>0</v>
      </c>
      <c r="N2606">
        <v>0</v>
      </c>
      <c r="O2606">
        <v>0</v>
      </c>
      <c r="P2606">
        <v>41.2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3</v>
      </c>
      <c r="AA2606">
        <v>0</v>
      </c>
      <c r="AC2606">
        <v>44.2</v>
      </c>
    </row>
    <row r="2607" spans="1:29">
      <c r="A2607">
        <v>2600</v>
      </c>
      <c r="B2607">
        <v>3822</v>
      </c>
      <c r="C2607" t="s">
        <v>415</v>
      </c>
      <c r="D2607" t="s">
        <v>5556</v>
      </c>
      <c r="E2607" t="s">
        <v>77</v>
      </c>
      <c r="F2607" t="s">
        <v>5557</v>
      </c>
      <c r="G2607" t="str">
        <f>"201507003107"</f>
        <v>201507003107</v>
      </c>
      <c r="H2607">
        <v>7.2</v>
      </c>
      <c r="I2607">
        <v>10</v>
      </c>
      <c r="L2607">
        <v>4</v>
      </c>
      <c r="M2607">
        <v>4</v>
      </c>
      <c r="N2607">
        <v>4</v>
      </c>
      <c r="O2607">
        <v>2</v>
      </c>
      <c r="P2607">
        <v>27.2</v>
      </c>
      <c r="Q2607">
        <v>14</v>
      </c>
      <c r="R2607">
        <v>14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14</v>
      </c>
      <c r="Z2607">
        <v>3</v>
      </c>
      <c r="AA2607">
        <v>0</v>
      </c>
      <c r="AC2607">
        <v>44.2</v>
      </c>
    </row>
    <row r="2608" spans="1:29">
      <c r="A2608">
        <v>2601</v>
      </c>
      <c r="B2608">
        <v>2056</v>
      </c>
      <c r="C2608" t="s">
        <v>5570</v>
      </c>
      <c r="D2608" t="s">
        <v>39</v>
      </c>
      <c r="E2608" t="s">
        <v>79</v>
      </c>
      <c r="F2608" t="s">
        <v>5571</v>
      </c>
      <c r="G2608" t="str">
        <f>"00678413"</f>
        <v>00678413</v>
      </c>
      <c r="H2608">
        <v>40</v>
      </c>
      <c r="I2608">
        <v>0</v>
      </c>
      <c r="M2608">
        <v>0</v>
      </c>
      <c r="N2608">
        <v>4</v>
      </c>
      <c r="O2608">
        <v>0</v>
      </c>
      <c r="P2608">
        <v>44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0</v>
      </c>
      <c r="Z2608">
        <v>0</v>
      </c>
      <c r="AA2608">
        <v>0</v>
      </c>
      <c r="AC2608">
        <v>44</v>
      </c>
    </row>
    <row r="2609" spans="1:29">
      <c r="A2609">
        <v>2602</v>
      </c>
      <c r="B2609">
        <v>4737</v>
      </c>
      <c r="C2609" t="s">
        <v>5565</v>
      </c>
      <c r="D2609" t="s">
        <v>3750</v>
      </c>
      <c r="E2609" t="s">
        <v>3656</v>
      </c>
      <c r="F2609" t="s">
        <v>5566</v>
      </c>
      <c r="G2609" t="str">
        <f>"00641135"</f>
        <v>00641135</v>
      </c>
      <c r="H2609">
        <v>40</v>
      </c>
      <c r="I2609">
        <v>0</v>
      </c>
      <c r="L2609">
        <v>4</v>
      </c>
      <c r="M2609">
        <v>4</v>
      </c>
      <c r="N2609">
        <v>0</v>
      </c>
      <c r="O2609">
        <v>0</v>
      </c>
      <c r="P2609">
        <v>44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  <c r="AA2609">
        <v>0</v>
      </c>
      <c r="AC2609">
        <v>44</v>
      </c>
    </row>
    <row r="2610" spans="1:29">
      <c r="A2610">
        <v>2603</v>
      </c>
      <c r="B2610">
        <v>4801</v>
      </c>
      <c r="C2610" t="s">
        <v>5559</v>
      </c>
      <c r="D2610" t="s">
        <v>27</v>
      </c>
      <c r="E2610" t="s">
        <v>56</v>
      </c>
      <c r="F2610" t="s">
        <v>5560</v>
      </c>
      <c r="G2610" t="str">
        <f>"00866254"</f>
        <v>00866254</v>
      </c>
      <c r="H2610">
        <v>40</v>
      </c>
      <c r="I2610">
        <v>0</v>
      </c>
      <c r="M2610">
        <v>0</v>
      </c>
      <c r="N2610">
        <v>4</v>
      </c>
      <c r="O2610">
        <v>0</v>
      </c>
      <c r="P2610">
        <v>44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0</v>
      </c>
      <c r="AA2610">
        <v>0</v>
      </c>
      <c r="AC2610">
        <v>44</v>
      </c>
    </row>
    <row r="2611" spans="1:29">
      <c r="A2611">
        <v>2604</v>
      </c>
      <c r="B2611">
        <v>187</v>
      </c>
      <c r="C2611" t="s">
        <v>5563</v>
      </c>
      <c r="D2611" t="s">
        <v>159</v>
      </c>
      <c r="E2611" t="s">
        <v>224</v>
      </c>
      <c r="F2611" t="s">
        <v>5564</v>
      </c>
      <c r="G2611" t="str">
        <f>"201402011724"</f>
        <v>201402011724</v>
      </c>
      <c r="H2611">
        <v>40</v>
      </c>
      <c r="I2611">
        <v>0</v>
      </c>
      <c r="M2611">
        <v>0</v>
      </c>
      <c r="N2611">
        <v>4</v>
      </c>
      <c r="O2611">
        <v>0</v>
      </c>
      <c r="P2611">
        <v>44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  <c r="AA2611">
        <v>0</v>
      </c>
      <c r="AC2611">
        <v>44</v>
      </c>
    </row>
    <row r="2612" spans="1:29">
      <c r="A2612">
        <v>2605</v>
      </c>
      <c r="B2612">
        <v>2282</v>
      </c>
      <c r="C2612" t="s">
        <v>989</v>
      </c>
      <c r="D2612" t="s">
        <v>266</v>
      </c>
      <c r="E2612" t="s">
        <v>134</v>
      </c>
      <c r="F2612" t="s">
        <v>5558</v>
      </c>
      <c r="G2612" t="str">
        <f>"00862436"</f>
        <v>00862436</v>
      </c>
      <c r="H2612">
        <v>40</v>
      </c>
      <c r="I2612">
        <v>0</v>
      </c>
      <c r="L2612">
        <v>4</v>
      </c>
      <c r="M2612">
        <v>4</v>
      </c>
      <c r="N2612">
        <v>0</v>
      </c>
      <c r="O2612">
        <v>0</v>
      </c>
      <c r="P2612">
        <v>44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0</v>
      </c>
      <c r="AA2612">
        <v>0</v>
      </c>
      <c r="AC2612">
        <v>44</v>
      </c>
    </row>
    <row r="2613" spans="1:29">
      <c r="A2613">
        <v>2606</v>
      </c>
      <c r="B2613">
        <v>150</v>
      </c>
      <c r="C2613" t="s">
        <v>409</v>
      </c>
      <c r="D2613" t="s">
        <v>5572</v>
      </c>
      <c r="E2613" t="s">
        <v>1749</v>
      </c>
      <c r="F2613" t="s">
        <v>5573</v>
      </c>
      <c r="G2613" t="str">
        <f>"00858276"</f>
        <v>00858276</v>
      </c>
      <c r="H2613">
        <v>40</v>
      </c>
      <c r="I2613">
        <v>0</v>
      </c>
      <c r="M2613">
        <v>0</v>
      </c>
      <c r="N2613">
        <v>4</v>
      </c>
      <c r="O2613">
        <v>0</v>
      </c>
      <c r="P2613">
        <v>44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v>0</v>
      </c>
      <c r="AA2613">
        <v>0</v>
      </c>
      <c r="AC2613">
        <v>44</v>
      </c>
    </row>
    <row r="2614" spans="1:29">
      <c r="A2614">
        <v>2607</v>
      </c>
      <c r="B2614">
        <v>239</v>
      </c>
      <c r="C2614" t="s">
        <v>3374</v>
      </c>
      <c r="D2614" t="s">
        <v>5568</v>
      </c>
      <c r="E2614" t="s">
        <v>156</v>
      </c>
      <c r="F2614" t="s">
        <v>5569</v>
      </c>
      <c r="G2614" t="str">
        <f>"00858934"</f>
        <v>00858934</v>
      </c>
      <c r="H2614">
        <v>40</v>
      </c>
      <c r="I2614">
        <v>0</v>
      </c>
      <c r="L2614">
        <v>4</v>
      </c>
      <c r="M2614">
        <v>4</v>
      </c>
      <c r="N2614">
        <v>0</v>
      </c>
      <c r="O2614">
        <v>0</v>
      </c>
      <c r="P2614">
        <v>44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  <c r="AA2614">
        <v>0</v>
      </c>
      <c r="AC2614">
        <v>44</v>
      </c>
    </row>
    <row r="2615" spans="1:29">
      <c r="A2615">
        <v>2608</v>
      </c>
      <c r="B2615">
        <v>90</v>
      </c>
      <c r="C2615" t="s">
        <v>5159</v>
      </c>
      <c r="D2615" t="s">
        <v>167</v>
      </c>
      <c r="E2615" t="s">
        <v>319</v>
      </c>
      <c r="F2615" t="s">
        <v>5567</v>
      </c>
      <c r="G2615" t="str">
        <f>"00643454"</f>
        <v>00643454</v>
      </c>
      <c r="H2615">
        <v>40</v>
      </c>
      <c r="I2615">
        <v>0</v>
      </c>
      <c r="M2615">
        <v>0</v>
      </c>
      <c r="N2615">
        <v>4</v>
      </c>
      <c r="O2615">
        <v>0</v>
      </c>
      <c r="P2615">
        <v>44</v>
      </c>
      <c r="Q2615">
        <v>0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0</v>
      </c>
      <c r="Z2615">
        <v>0</v>
      </c>
      <c r="AA2615">
        <v>0</v>
      </c>
      <c r="AC2615">
        <v>44</v>
      </c>
    </row>
    <row r="2616" spans="1:29">
      <c r="A2616">
        <v>2609</v>
      </c>
      <c r="B2616">
        <v>4617</v>
      </c>
      <c r="C2616" t="s">
        <v>5561</v>
      </c>
      <c r="D2616" t="s">
        <v>179</v>
      </c>
      <c r="E2616" t="s">
        <v>134</v>
      </c>
      <c r="F2616" t="s">
        <v>5562</v>
      </c>
      <c r="G2616" t="str">
        <f>"00640232"</f>
        <v>00640232</v>
      </c>
      <c r="H2616">
        <v>40</v>
      </c>
      <c r="I2616">
        <v>0</v>
      </c>
      <c r="L2616">
        <v>4</v>
      </c>
      <c r="M2616">
        <v>4</v>
      </c>
      <c r="N2616">
        <v>0</v>
      </c>
      <c r="O2616">
        <v>0</v>
      </c>
      <c r="P2616">
        <v>44</v>
      </c>
      <c r="Q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0</v>
      </c>
      <c r="Z2616">
        <v>0</v>
      </c>
      <c r="AA2616">
        <v>0</v>
      </c>
      <c r="AC2616">
        <v>44</v>
      </c>
    </row>
    <row r="2617" spans="1:29">
      <c r="A2617">
        <v>2610</v>
      </c>
      <c r="B2617">
        <v>3360</v>
      </c>
      <c r="C2617" t="s">
        <v>5044</v>
      </c>
      <c r="D2617" t="s">
        <v>86</v>
      </c>
      <c r="E2617" t="s">
        <v>32</v>
      </c>
      <c r="F2617" t="s">
        <v>5574</v>
      </c>
      <c r="G2617" t="str">
        <f>"00778896"</f>
        <v>00778896</v>
      </c>
      <c r="H2617">
        <v>38</v>
      </c>
      <c r="I2617">
        <v>0</v>
      </c>
      <c r="L2617">
        <v>4</v>
      </c>
      <c r="M2617">
        <v>4</v>
      </c>
      <c r="N2617">
        <v>0</v>
      </c>
      <c r="O2617">
        <v>2</v>
      </c>
      <c r="P2617">
        <v>44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0</v>
      </c>
      <c r="Z2617">
        <v>0</v>
      </c>
      <c r="AA2617">
        <v>0</v>
      </c>
      <c r="AC2617">
        <v>44</v>
      </c>
    </row>
    <row r="2618" spans="1:29">
      <c r="A2618">
        <v>2611</v>
      </c>
      <c r="B2618">
        <v>3339</v>
      </c>
      <c r="C2618" t="s">
        <v>5575</v>
      </c>
      <c r="D2618" t="s">
        <v>27</v>
      </c>
      <c r="E2618" t="s">
        <v>410</v>
      </c>
      <c r="F2618" t="s">
        <v>5576</v>
      </c>
      <c r="G2618" t="str">
        <f>"201511017392"</f>
        <v>201511017392</v>
      </c>
      <c r="H2618">
        <v>38</v>
      </c>
      <c r="I2618">
        <v>0</v>
      </c>
      <c r="M2618">
        <v>0</v>
      </c>
      <c r="N2618">
        <v>4</v>
      </c>
      <c r="O2618">
        <v>2</v>
      </c>
      <c r="P2618">
        <v>44</v>
      </c>
      <c r="Q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0</v>
      </c>
      <c r="AC2618">
        <v>44</v>
      </c>
    </row>
    <row r="2619" spans="1:29">
      <c r="A2619">
        <v>2612</v>
      </c>
      <c r="B2619">
        <v>3574</v>
      </c>
      <c r="C2619" t="s">
        <v>5594</v>
      </c>
      <c r="D2619" t="s">
        <v>400</v>
      </c>
      <c r="E2619" t="s">
        <v>15</v>
      </c>
      <c r="F2619" t="s">
        <v>5595</v>
      </c>
      <c r="G2619" t="str">
        <f>"00839476"</f>
        <v>00839476</v>
      </c>
      <c r="H2619">
        <v>36</v>
      </c>
      <c r="I2619">
        <v>0</v>
      </c>
      <c r="L2619">
        <v>4</v>
      </c>
      <c r="M2619">
        <v>4</v>
      </c>
      <c r="N2619">
        <v>4</v>
      </c>
      <c r="O2619">
        <v>0</v>
      </c>
      <c r="P2619">
        <v>44</v>
      </c>
      <c r="Q2619">
        <v>0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0</v>
      </c>
      <c r="Z2619">
        <v>0</v>
      </c>
      <c r="AA2619">
        <v>0</v>
      </c>
      <c r="AC2619">
        <v>44</v>
      </c>
    </row>
    <row r="2620" spans="1:29">
      <c r="A2620">
        <v>2613</v>
      </c>
      <c r="B2620">
        <v>643</v>
      </c>
      <c r="C2620" t="s">
        <v>26</v>
      </c>
      <c r="D2620" t="s">
        <v>5598</v>
      </c>
      <c r="E2620" t="s">
        <v>168</v>
      </c>
      <c r="F2620" t="s">
        <v>5599</v>
      </c>
      <c r="G2620" t="str">
        <f>"00210415"</f>
        <v>00210415</v>
      </c>
      <c r="H2620">
        <v>36</v>
      </c>
      <c r="I2620">
        <v>0</v>
      </c>
      <c r="L2620">
        <v>4</v>
      </c>
      <c r="M2620">
        <v>4</v>
      </c>
      <c r="N2620">
        <v>4</v>
      </c>
      <c r="O2620">
        <v>0</v>
      </c>
      <c r="P2620">
        <v>44</v>
      </c>
      <c r="Q2620">
        <v>0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0</v>
      </c>
      <c r="AC2620">
        <v>44</v>
      </c>
    </row>
    <row r="2621" spans="1:29">
      <c r="A2621">
        <v>2614</v>
      </c>
      <c r="B2621">
        <v>2961</v>
      </c>
      <c r="C2621" t="s">
        <v>5578</v>
      </c>
      <c r="D2621" t="s">
        <v>448</v>
      </c>
      <c r="E2621" t="s">
        <v>28</v>
      </c>
      <c r="F2621" t="s">
        <v>5579</v>
      </c>
      <c r="G2621" t="str">
        <f>"00472475"</f>
        <v>00472475</v>
      </c>
      <c r="H2621">
        <v>36</v>
      </c>
      <c r="I2621">
        <v>0</v>
      </c>
      <c r="L2621">
        <v>4</v>
      </c>
      <c r="M2621">
        <v>4</v>
      </c>
      <c r="N2621">
        <v>4</v>
      </c>
      <c r="O2621">
        <v>0</v>
      </c>
      <c r="P2621">
        <v>44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0</v>
      </c>
      <c r="Y2621">
        <v>0</v>
      </c>
      <c r="Z2621">
        <v>0</v>
      </c>
      <c r="AA2621">
        <v>0</v>
      </c>
      <c r="AC2621">
        <v>44</v>
      </c>
    </row>
    <row r="2622" spans="1:29">
      <c r="A2622">
        <v>2615</v>
      </c>
      <c r="B2622">
        <v>4249</v>
      </c>
      <c r="C2622" t="s">
        <v>5596</v>
      </c>
      <c r="D2622" t="s">
        <v>27</v>
      </c>
      <c r="E2622" t="s">
        <v>66</v>
      </c>
      <c r="F2622" t="s">
        <v>5597</v>
      </c>
      <c r="G2622" t="str">
        <f>"00863313"</f>
        <v>00863313</v>
      </c>
      <c r="H2622">
        <v>36</v>
      </c>
      <c r="I2622">
        <v>0</v>
      </c>
      <c r="L2622">
        <v>4</v>
      </c>
      <c r="M2622">
        <v>4</v>
      </c>
      <c r="N2622">
        <v>4</v>
      </c>
      <c r="O2622">
        <v>0</v>
      </c>
      <c r="P2622">
        <v>44</v>
      </c>
      <c r="Q2622">
        <v>0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v>0</v>
      </c>
      <c r="AA2622">
        <v>0</v>
      </c>
      <c r="AC2622">
        <v>44</v>
      </c>
    </row>
    <row r="2623" spans="1:29">
      <c r="A2623">
        <v>2616</v>
      </c>
      <c r="B2623">
        <v>3957</v>
      </c>
      <c r="C2623" t="s">
        <v>5592</v>
      </c>
      <c r="D2623" t="s">
        <v>27</v>
      </c>
      <c r="E2623" t="s">
        <v>15</v>
      </c>
      <c r="F2623" t="s">
        <v>5593</v>
      </c>
      <c r="G2623" t="str">
        <f>"00755813"</f>
        <v>00755813</v>
      </c>
      <c r="H2623">
        <v>36</v>
      </c>
      <c r="I2623">
        <v>0</v>
      </c>
      <c r="L2623">
        <v>4</v>
      </c>
      <c r="M2623">
        <v>4</v>
      </c>
      <c r="N2623">
        <v>4</v>
      </c>
      <c r="O2623">
        <v>0</v>
      </c>
      <c r="P2623">
        <v>44</v>
      </c>
      <c r="Q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v>0</v>
      </c>
      <c r="AA2623">
        <v>0</v>
      </c>
      <c r="AC2623">
        <v>44</v>
      </c>
    </row>
    <row r="2624" spans="1:29">
      <c r="A2624">
        <v>2617</v>
      </c>
      <c r="B2624">
        <v>3839</v>
      </c>
      <c r="C2624" t="s">
        <v>5581</v>
      </c>
      <c r="D2624" t="s">
        <v>27</v>
      </c>
      <c r="E2624" t="s">
        <v>451</v>
      </c>
      <c r="F2624" t="s">
        <v>5582</v>
      </c>
      <c r="G2624" t="str">
        <f>"00860214"</f>
        <v>00860214</v>
      </c>
      <c r="H2624">
        <v>36</v>
      </c>
      <c r="I2624">
        <v>0</v>
      </c>
      <c r="L2624">
        <v>4</v>
      </c>
      <c r="M2624">
        <v>4</v>
      </c>
      <c r="N2624">
        <v>4</v>
      </c>
      <c r="O2624">
        <v>0</v>
      </c>
      <c r="P2624">
        <v>44</v>
      </c>
      <c r="Q2624">
        <v>0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v>0</v>
      </c>
      <c r="AA2624">
        <v>0</v>
      </c>
      <c r="AC2624">
        <v>44</v>
      </c>
    </row>
    <row r="2625" spans="1:29">
      <c r="A2625">
        <v>2618</v>
      </c>
      <c r="B2625">
        <v>2017</v>
      </c>
      <c r="C2625" t="s">
        <v>5583</v>
      </c>
      <c r="D2625" t="s">
        <v>86</v>
      </c>
      <c r="E2625" t="s">
        <v>18</v>
      </c>
      <c r="F2625" t="s">
        <v>5584</v>
      </c>
      <c r="G2625" t="str">
        <f>"00857841"</f>
        <v>00857841</v>
      </c>
      <c r="H2625">
        <v>36</v>
      </c>
      <c r="I2625">
        <v>0</v>
      </c>
      <c r="L2625">
        <v>4</v>
      </c>
      <c r="M2625">
        <v>4</v>
      </c>
      <c r="N2625">
        <v>4</v>
      </c>
      <c r="O2625">
        <v>0</v>
      </c>
      <c r="P2625">
        <v>44</v>
      </c>
      <c r="Q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  <c r="AA2625">
        <v>0</v>
      </c>
      <c r="AC2625">
        <v>44</v>
      </c>
    </row>
    <row r="2626" spans="1:29">
      <c r="A2626">
        <v>2619</v>
      </c>
      <c r="B2626">
        <v>1728</v>
      </c>
      <c r="C2626" t="s">
        <v>5587</v>
      </c>
      <c r="D2626" t="s">
        <v>159</v>
      </c>
      <c r="E2626" t="s">
        <v>333</v>
      </c>
      <c r="F2626" t="s">
        <v>5588</v>
      </c>
      <c r="G2626" t="str">
        <f>"00860080"</f>
        <v>00860080</v>
      </c>
      <c r="H2626">
        <v>36</v>
      </c>
      <c r="I2626">
        <v>0</v>
      </c>
      <c r="L2626">
        <v>4</v>
      </c>
      <c r="M2626">
        <v>4</v>
      </c>
      <c r="N2626">
        <v>4</v>
      </c>
      <c r="O2626">
        <v>0</v>
      </c>
      <c r="P2626">
        <v>44</v>
      </c>
      <c r="Q2626">
        <v>0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0</v>
      </c>
      <c r="Z2626">
        <v>0</v>
      </c>
      <c r="AA2626">
        <v>0</v>
      </c>
      <c r="AC2626">
        <v>44</v>
      </c>
    </row>
    <row r="2627" spans="1:29">
      <c r="A2627">
        <v>2620</v>
      </c>
      <c r="B2627">
        <v>4690</v>
      </c>
      <c r="C2627" t="s">
        <v>3671</v>
      </c>
      <c r="D2627" t="s">
        <v>276</v>
      </c>
      <c r="E2627" t="s">
        <v>18</v>
      </c>
      <c r="F2627" t="s">
        <v>5589</v>
      </c>
      <c r="G2627" t="str">
        <f>"00768717"</f>
        <v>00768717</v>
      </c>
      <c r="H2627">
        <v>36</v>
      </c>
      <c r="I2627">
        <v>0</v>
      </c>
      <c r="L2627">
        <v>4</v>
      </c>
      <c r="M2627">
        <v>4</v>
      </c>
      <c r="N2627">
        <v>4</v>
      </c>
      <c r="O2627">
        <v>0</v>
      </c>
      <c r="P2627">
        <v>44</v>
      </c>
      <c r="Q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  <c r="AA2627">
        <v>0</v>
      </c>
      <c r="AC2627">
        <v>44</v>
      </c>
    </row>
    <row r="2628" spans="1:29">
      <c r="A2628">
        <v>2621</v>
      </c>
      <c r="B2628">
        <v>1296</v>
      </c>
      <c r="C2628" t="s">
        <v>5590</v>
      </c>
      <c r="D2628" t="s">
        <v>31</v>
      </c>
      <c r="E2628" t="s">
        <v>647</v>
      </c>
      <c r="F2628" t="s">
        <v>5591</v>
      </c>
      <c r="G2628" t="str">
        <f>"00212218"</f>
        <v>00212218</v>
      </c>
      <c r="H2628">
        <v>36</v>
      </c>
      <c r="I2628">
        <v>0</v>
      </c>
      <c r="L2628">
        <v>4</v>
      </c>
      <c r="M2628">
        <v>4</v>
      </c>
      <c r="N2628">
        <v>4</v>
      </c>
      <c r="O2628">
        <v>0</v>
      </c>
      <c r="P2628">
        <v>44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  <c r="AA2628">
        <v>0</v>
      </c>
      <c r="AC2628">
        <v>44</v>
      </c>
    </row>
    <row r="2629" spans="1:29">
      <c r="A2629">
        <v>2622</v>
      </c>
      <c r="B2629">
        <v>357</v>
      </c>
      <c r="C2629" t="s">
        <v>1222</v>
      </c>
      <c r="D2629" t="s">
        <v>39</v>
      </c>
      <c r="E2629" t="s">
        <v>18</v>
      </c>
      <c r="F2629" t="s">
        <v>5577</v>
      </c>
      <c r="G2629" t="str">
        <f>"00856211"</f>
        <v>00856211</v>
      </c>
      <c r="H2629">
        <v>36</v>
      </c>
      <c r="I2629">
        <v>0</v>
      </c>
      <c r="L2629">
        <v>4</v>
      </c>
      <c r="M2629">
        <v>4</v>
      </c>
      <c r="N2629">
        <v>4</v>
      </c>
      <c r="O2629">
        <v>0</v>
      </c>
      <c r="P2629">
        <v>44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  <c r="AA2629">
        <v>0</v>
      </c>
      <c r="AC2629">
        <v>44</v>
      </c>
    </row>
    <row r="2630" spans="1:29">
      <c r="A2630">
        <v>2623</v>
      </c>
      <c r="B2630">
        <v>3250</v>
      </c>
      <c r="C2630" t="s">
        <v>5585</v>
      </c>
      <c r="D2630" t="s">
        <v>694</v>
      </c>
      <c r="E2630" t="s">
        <v>15</v>
      </c>
      <c r="F2630" t="s">
        <v>5586</v>
      </c>
      <c r="G2630" t="str">
        <f>"00863797"</f>
        <v>00863797</v>
      </c>
      <c r="H2630">
        <v>36</v>
      </c>
      <c r="I2630">
        <v>0</v>
      </c>
      <c r="L2630">
        <v>8</v>
      </c>
      <c r="M2630">
        <v>8</v>
      </c>
      <c r="N2630">
        <v>0</v>
      </c>
      <c r="O2630">
        <v>0</v>
      </c>
      <c r="P2630">
        <v>44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0</v>
      </c>
      <c r="AA2630">
        <v>0</v>
      </c>
      <c r="AC2630">
        <v>44</v>
      </c>
    </row>
    <row r="2631" spans="1:29">
      <c r="A2631">
        <v>2624</v>
      </c>
      <c r="B2631">
        <v>1019</v>
      </c>
      <c r="C2631" t="s">
        <v>316</v>
      </c>
      <c r="D2631" t="s">
        <v>52</v>
      </c>
      <c r="E2631" t="s">
        <v>15</v>
      </c>
      <c r="F2631" t="s">
        <v>5580</v>
      </c>
      <c r="G2631" t="str">
        <f>"00859610"</f>
        <v>00859610</v>
      </c>
      <c r="H2631">
        <v>36</v>
      </c>
      <c r="I2631">
        <v>0</v>
      </c>
      <c r="J2631">
        <v>8</v>
      </c>
      <c r="M2631">
        <v>8</v>
      </c>
      <c r="N2631">
        <v>0</v>
      </c>
      <c r="O2631">
        <v>0</v>
      </c>
      <c r="P2631">
        <v>44</v>
      </c>
      <c r="Q2631">
        <v>0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v>0</v>
      </c>
      <c r="AA2631">
        <v>0</v>
      </c>
      <c r="AC2631">
        <v>44</v>
      </c>
    </row>
    <row r="2632" spans="1:29">
      <c r="A2632">
        <v>2625</v>
      </c>
      <c r="B2632">
        <v>3260</v>
      </c>
      <c r="C2632" t="s">
        <v>710</v>
      </c>
      <c r="D2632" t="s">
        <v>86</v>
      </c>
      <c r="E2632" t="s">
        <v>889</v>
      </c>
      <c r="F2632" t="s">
        <v>5600</v>
      </c>
      <c r="G2632" t="str">
        <f>"00456536"</f>
        <v>00456536</v>
      </c>
      <c r="H2632">
        <v>34</v>
      </c>
      <c r="I2632">
        <v>0</v>
      </c>
      <c r="L2632">
        <v>4</v>
      </c>
      <c r="M2632">
        <v>4</v>
      </c>
      <c r="N2632">
        <v>4</v>
      </c>
      <c r="O2632">
        <v>2</v>
      </c>
      <c r="P2632">
        <v>44</v>
      </c>
      <c r="Q2632">
        <v>0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v>0</v>
      </c>
      <c r="AA2632">
        <v>0</v>
      </c>
      <c r="AC2632">
        <v>44</v>
      </c>
    </row>
    <row r="2633" spans="1:29">
      <c r="A2633">
        <v>2626</v>
      </c>
      <c r="B2633">
        <v>673</v>
      </c>
      <c r="C2633" t="s">
        <v>5601</v>
      </c>
      <c r="D2633" t="s">
        <v>170</v>
      </c>
      <c r="E2633" t="s">
        <v>28</v>
      </c>
      <c r="F2633" t="s">
        <v>5602</v>
      </c>
      <c r="G2633" t="str">
        <f>"00856945"</f>
        <v>00856945</v>
      </c>
      <c r="H2633">
        <v>30</v>
      </c>
      <c r="I2633">
        <v>10</v>
      </c>
      <c r="L2633">
        <v>4</v>
      </c>
      <c r="M2633">
        <v>4</v>
      </c>
      <c r="N2633">
        <v>0</v>
      </c>
      <c r="O2633">
        <v>0</v>
      </c>
      <c r="P2633">
        <v>44</v>
      </c>
      <c r="Q2633">
        <v>0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0</v>
      </c>
      <c r="AC2633">
        <v>44</v>
      </c>
    </row>
    <row r="2634" spans="1:29">
      <c r="A2634">
        <v>2627</v>
      </c>
      <c r="B2634">
        <v>2805</v>
      </c>
      <c r="C2634" t="s">
        <v>5603</v>
      </c>
      <c r="D2634" t="s">
        <v>130</v>
      </c>
      <c r="E2634" t="s">
        <v>18</v>
      </c>
      <c r="F2634" t="s">
        <v>5604</v>
      </c>
      <c r="G2634" t="str">
        <f>"00530826"</f>
        <v>00530826</v>
      </c>
      <c r="H2634">
        <v>36</v>
      </c>
      <c r="I2634">
        <v>0</v>
      </c>
      <c r="M2634">
        <v>0</v>
      </c>
      <c r="N2634">
        <v>0</v>
      </c>
      <c r="O2634">
        <v>2</v>
      </c>
      <c r="P2634">
        <v>38</v>
      </c>
      <c r="Q2634">
        <v>6</v>
      </c>
      <c r="R2634">
        <v>6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6</v>
      </c>
      <c r="Z2634">
        <v>0</v>
      </c>
      <c r="AA2634">
        <v>0</v>
      </c>
      <c r="AC2634">
        <v>44</v>
      </c>
    </row>
    <row r="2635" spans="1:29">
      <c r="A2635">
        <v>2628</v>
      </c>
      <c r="B2635">
        <v>4353</v>
      </c>
      <c r="C2635" t="s">
        <v>1303</v>
      </c>
      <c r="D2635" t="s">
        <v>167</v>
      </c>
      <c r="E2635" t="s">
        <v>387</v>
      </c>
      <c r="F2635" t="s">
        <v>5605</v>
      </c>
      <c r="G2635" t="str">
        <f>"00532634"</f>
        <v>00532634</v>
      </c>
      <c r="H2635">
        <v>32.92</v>
      </c>
      <c r="I2635">
        <v>0</v>
      </c>
      <c r="M2635">
        <v>0</v>
      </c>
      <c r="N2635">
        <v>0</v>
      </c>
      <c r="O2635">
        <v>0</v>
      </c>
      <c r="P2635">
        <v>32.92</v>
      </c>
      <c r="Q2635">
        <v>11</v>
      </c>
      <c r="R2635">
        <v>11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11</v>
      </c>
      <c r="Z2635">
        <v>0</v>
      </c>
      <c r="AA2635">
        <v>0</v>
      </c>
      <c r="AC2635">
        <v>43.92</v>
      </c>
    </row>
    <row r="2636" spans="1:29">
      <c r="A2636">
        <v>2629</v>
      </c>
      <c r="B2636">
        <v>1179</v>
      </c>
      <c r="C2636" t="s">
        <v>2779</v>
      </c>
      <c r="D2636" t="s">
        <v>130</v>
      </c>
      <c r="E2636" t="s">
        <v>3985</v>
      </c>
      <c r="F2636" t="s">
        <v>5606</v>
      </c>
      <c r="G2636" t="str">
        <f>"00650756"</f>
        <v>00650756</v>
      </c>
      <c r="H2636">
        <v>33.799999999999997</v>
      </c>
      <c r="I2636">
        <v>0</v>
      </c>
      <c r="M2636">
        <v>0</v>
      </c>
      <c r="N2636">
        <v>4</v>
      </c>
      <c r="O2636">
        <v>0</v>
      </c>
      <c r="P2636">
        <v>37.799999999999997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6</v>
      </c>
      <c r="AA2636">
        <v>0</v>
      </c>
      <c r="AC2636">
        <v>43.8</v>
      </c>
    </row>
    <row r="2637" spans="1:29">
      <c r="A2637">
        <v>2630</v>
      </c>
      <c r="B2637">
        <v>4613</v>
      </c>
      <c r="C2637" t="s">
        <v>5607</v>
      </c>
      <c r="D2637" t="s">
        <v>820</v>
      </c>
      <c r="E2637" t="s">
        <v>115</v>
      </c>
      <c r="F2637" t="s">
        <v>5608</v>
      </c>
      <c r="G2637" t="str">
        <f>"00504835"</f>
        <v>00504835</v>
      </c>
      <c r="H2637">
        <v>28.8</v>
      </c>
      <c r="I2637">
        <v>0</v>
      </c>
      <c r="K2637">
        <v>6</v>
      </c>
      <c r="M2637">
        <v>6</v>
      </c>
      <c r="N2637">
        <v>4</v>
      </c>
      <c r="O2637">
        <v>2</v>
      </c>
      <c r="P2637">
        <v>40.799999999999997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v>3</v>
      </c>
      <c r="AA2637">
        <v>0</v>
      </c>
      <c r="AC2637">
        <v>43.8</v>
      </c>
    </row>
    <row r="2638" spans="1:29">
      <c r="A2638">
        <v>2631</v>
      </c>
      <c r="B2638">
        <v>4022</v>
      </c>
      <c r="C2638" t="s">
        <v>1952</v>
      </c>
      <c r="D2638" t="s">
        <v>164</v>
      </c>
      <c r="E2638" t="s">
        <v>18</v>
      </c>
      <c r="F2638" t="s">
        <v>5609</v>
      </c>
      <c r="G2638" t="str">
        <f>"201511042828"</f>
        <v>201511042828</v>
      </c>
      <c r="H2638">
        <v>22.8</v>
      </c>
      <c r="I2638">
        <v>10</v>
      </c>
      <c r="M2638">
        <v>0</v>
      </c>
      <c r="N2638">
        <v>4</v>
      </c>
      <c r="O2638">
        <v>2</v>
      </c>
      <c r="P2638">
        <v>38.799999999999997</v>
      </c>
      <c r="Q2638">
        <v>5</v>
      </c>
      <c r="R2638">
        <v>5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5</v>
      </c>
      <c r="Z2638">
        <v>0</v>
      </c>
      <c r="AA2638">
        <v>0</v>
      </c>
      <c r="AC2638">
        <v>43.8</v>
      </c>
    </row>
    <row r="2639" spans="1:29">
      <c r="A2639">
        <v>2632</v>
      </c>
      <c r="B2639">
        <v>1890</v>
      </c>
      <c r="C2639" t="s">
        <v>3766</v>
      </c>
      <c r="D2639" t="s">
        <v>374</v>
      </c>
      <c r="E2639" t="s">
        <v>28</v>
      </c>
      <c r="F2639" t="s">
        <v>5610</v>
      </c>
      <c r="G2639" t="str">
        <f>"00395444"</f>
        <v>00395444</v>
      </c>
      <c r="H2639">
        <v>28.8</v>
      </c>
      <c r="I2639">
        <v>0</v>
      </c>
      <c r="M2639">
        <v>0</v>
      </c>
      <c r="N2639">
        <v>0</v>
      </c>
      <c r="O2639">
        <v>0</v>
      </c>
      <c r="P2639">
        <v>28.8</v>
      </c>
      <c r="Q2639">
        <v>15</v>
      </c>
      <c r="R2639">
        <v>15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15</v>
      </c>
      <c r="Z2639">
        <v>0</v>
      </c>
      <c r="AA2639">
        <v>0</v>
      </c>
      <c r="AC2639">
        <v>43.8</v>
      </c>
    </row>
    <row r="2640" spans="1:29">
      <c r="A2640">
        <v>2633</v>
      </c>
      <c r="B2640">
        <v>325</v>
      </c>
      <c r="C2640" t="s">
        <v>5611</v>
      </c>
      <c r="D2640" t="s">
        <v>1577</v>
      </c>
      <c r="E2640" t="s">
        <v>4627</v>
      </c>
      <c r="F2640" t="s">
        <v>5612</v>
      </c>
      <c r="G2640" t="str">
        <f>"00511363"</f>
        <v>00511363</v>
      </c>
      <c r="H2640">
        <v>14.8</v>
      </c>
      <c r="I2640">
        <v>10</v>
      </c>
      <c r="M2640">
        <v>0</v>
      </c>
      <c r="N2640">
        <v>4</v>
      </c>
      <c r="O2640">
        <v>0</v>
      </c>
      <c r="P2640">
        <v>28.8</v>
      </c>
      <c r="Q2640">
        <v>5</v>
      </c>
      <c r="R2640">
        <v>5</v>
      </c>
      <c r="S2640">
        <v>5</v>
      </c>
      <c r="T2640">
        <v>10</v>
      </c>
      <c r="U2640">
        <v>0</v>
      </c>
      <c r="V2640">
        <v>0</v>
      </c>
      <c r="W2640">
        <v>0</v>
      </c>
      <c r="X2640">
        <v>0</v>
      </c>
      <c r="Y2640">
        <v>15</v>
      </c>
      <c r="Z2640">
        <v>0</v>
      </c>
      <c r="AA2640">
        <v>0</v>
      </c>
      <c r="AC2640">
        <v>43.8</v>
      </c>
    </row>
    <row r="2641" spans="1:29">
      <c r="A2641">
        <v>2634</v>
      </c>
      <c r="B2641">
        <v>3522</v>
      </c>
      <c r="C2641" t="s">
        <v>5613</v>
      </c>
      <c r="D2641" t="s">
        <v>164</v>
      </c>
      <c r="E2641" t="s">
        <v>60</v>
      </c>
      <c r="F2641" t="s">
        <v>5614</v>
      </c>
      <c r="G2641" t="str">
        <f>"201511034978"</f>
        <v>201511034978</v>
      </c>
      <c r="H2641">
        <v>37.76</v>
      </c>
      <c r="I2641">
        <v>0</v>
      </c>
      <c r="M2641">
        <v>0</v>
      </c>
      <c r="N2641">
        <v>0</v>
      </c>
      <c r="O2641">
        <v>0</v>
      </c>
      <c r="P2641">
        <v>37.76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0</v>
      </c>
      <c r="Z2641">
        <v>6</v>
      </c>
      <c r="AA2641">
        <v>0</v>
      </c>
      <c r="AC2641">
        <v>43.76</v>
      </c>
    </row>
    <row r="2642" spans="1:29">
      <c r="A2642">
        <v>2635</v>
      </c>
      <c r="B2642">
        <v>1504</v>
      </c>
      <c r="C2642" t="s">
        <v>5615</v>
      </c>
      <c r="D2642" t="s">
        <v>39</v>
      </c>
      <c r="E2642" t="s">
        <v>36</v>
      </c>
      <c r="F2642" t="s">
        <v>5616</v>
      </c>
      <c r="G2642" t="str">
        <f>"00533901"</f>
        <v>00533901</v>
      </c>
      <c r="H2642">
        <v>20.72</v>
      </c>
      <c r="I2642">
        <v>10</v>
      </c>
      <c r="M2642">
        <v>0</v>
      </c>
      <c r="N2642">
        <v>4</v>
      </c>
      <c r="O2642">
        <v>0</v>
      </c>
      <c r="P2642">
        <v>34.72</v>
      </c>
      <c r="Q2642">
        <v>6</v>
      </c>
      <c r="R2642">
        <v>6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6</v>
      </c>
      <c r="Z2642">
        <v>3</v>
      </c>
      <c r="AA2642">
        <v>0</v>
      </c>
      <c r="AC2642">
        <v>43.72</v>
      </c>
    </row>
    <row r="2643" spans="1:29">
      <c r="A2643">
        <v>2636</v>
      </c>
      <c r="B2643">
        <v>4692</v>
      </c>
      <c r="C2643" t="s">
        <v>5617</v>
      </c>
      <c r="D2643" t="s">
        <v>832</v>
      </c>
      <c r="E2643" t="s">
        <v>5618</v>
      </c>
      <c r="F2643" t="s">
        <v>5619</v>
      </c>
      <c r="G2643" t="str">
        <f>"00560967"</f>
        <v>00560967</v>
      </c>
      <c r="H2643">
        <v>38.68</v>
      </c>
      <c r="I2643">
        <v>0</v>
      </c>
      <c r="M2643">
        <v>0</v>
      </c>
      <c r="N2643">
        <v>0</v>
      </c>
      <c r="O2643">
        <v>2</v>
      </c>
      <c r="P2643">
        <v>40.68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3</v>
      </c>
      <c r="AA2643">
        <v>0</v>
      </c>
      <c r="AC2643">
        <v>43.68</v>
      </c>
    </row>
    <row r="2644" spans="1:29">
      <c r="A2644">
        <v>2637</v>
      </c>
      <c r="B2644">
        <v>3786</v>
      </c>
      <c r="C2644" t="s">
        <v>5620</v>
      </c>
      <c r="D2644" t="s">
        <v>35</v>
      </c>
      <c r="E2644" t="s">
        <v>165</v>
      </c>
      <c r="F2644" t="s">
        <v>5621</v>
      </c>
      <c r="G2644" t="str">
        <f>"00820036"</f>
        <v>00820036</v>
      </c>
      <c r="H2644">
        <v>35.6</v>
      </c>
      <c r="I2644">
        <v>0</v>
      </c>
      <c r="M2644">
        <v>0</v>
      </c>
      <c r="N2644">
        <v>0</v>
      </c>
      <c r="O2644">
        <v>2</v>
      </c>
      <c r="P2644">
        <v>37.6</v>
      </c>
      <c r="Q2644">
        <v>0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0</v>
      </c>
      <c r="Z2644">
        <v>6</v>
      </c>
      <c r="AA2644">
        <v>0</v>
      </c>
      <c r="AC2644">
        <v>43.6</v>
      </c>
    </row>
    <row r="2645" spans="1:29">
      <c r="A2645">
        <v>2638</v>
      </c>
      <c r="B2645">
        <v>512</v>
      </c>
      <c r="C2645" t="s">
        <v>5622</v>
      </c>
      <c r="D2645" t="s">
        <v>205</v>
      </c>
      <c r="E2645" t="s">
        <v>66</v>
      </c>
      <c r="F2645" t="s">
        <v>5623</v>
      </c>
      <c r="G2645" t="str">
        <f>"200805001332"</f>
        <v>200805001332</v>
      </c>
      <c r="H2645">
        <v>27.6</v>
      </c>
      <c r="I2645">
        <v>0</v>
      </c>
      <c r="L2645">
        <v>4</v>
      </c>
      <c r="M2645">
        <v>4</v>
      </c>
      <c r="N2645">
        <v>4</v>
      </c>
      <c r="O2645">
        <v>2</v>
      </c>
      <c r="P2645">
        <v>37.6</v>
      </c>
      <c r="Q2645">
        <v>0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6</v>
      </c>
      <c r="AA2645">
        <v>0</v>
      </c>
      <c r="AC2645">
        <v>43.6</v>
      </c>
    </row>
    <row r="2646" spans="1:29">
      <c r="A2646">
        <v>2639</v>
      </c>
      <c r="B2646">
        <v>4025</v>
      </c>
      <c r="C2646" t="s">
        <v>3281</v>
      </c>
      <c r="D2646" t="s">
        <v>5624</v>
      </c>
      <c r="E2646" t="s">
        <v>5625</v>
      </c>
      <c r="F2646" t="s">
        <v>5626</v>
      </c>
      <c r="G2646" t="str">
        <f>"00532200"</f>
        <v>00532200</v>
      </c>
      <c r="H2646">
        <v>20.6</v>
      </c>
      <c r="I2646">
        <v>10</v>
      </c>
      <c r="L2646">
        <v>4</v>
      </c>
      <c r="M2646">
        <v>4</v>
      </c>
      <c r="N2646">
        <v>4</v>
      </c>
      <c r="O2646">
        <v>2</v>
      </c>
      <c r="P2646">
        <v>40.6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3</v>
      </c>
      <c r="AA2646">
        <v>0</v>
      </c>
      <c r="AC2646">
        <v>43.6</v>
      </c>
    </row>
    <row r="2647" spans="1:29">
      <c r="A2647">
        <v>2640</v>
      </c>
      <c r="B2647">
        <v>3650</v>
      </c>
      <c r="C2647" t="s">
        <v>5627</v>
      </c>
      <c r="D2647" t="s">
        <v>141</v>
      </c>
      <c r="E2647" t="s">
        <v>15</v>
      </c>
      <c r="F2647" t="s">
        <v>5628</v>
      </c>
      <c r="G2647" t="str">
        <f>"00218513"</f>
        <v>00218513</v>
      </c>
      <c r="H2647">
        <v>39.6</v>
      </c>
      <c r="I2647">
        <v>0</v>
      </c>
      <c r="M2647">
        <v>0</v>
      </c>
      <c r="N2647">
        <v>4</v>
      </c>
      <c r="O2647">
        <v>0</v>
      </c>
      <c r="P2647">
        <v>43.6</v>
      </c>
      <c r="Q2647">
        <v>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0</v>
      </c>
      <c r="AC2647">
        <v>43.6</v>
      </c>
    </row>
    <row r="2648" spans="1:29">
      <c r="A2648">
        <v>2641</v>
      </c>
      <c r="B2648">
        <v>4685</v>
      </c>
      <c r="C2648" t="s">
        <v>5629</v>
      </c>
      <c r="D2648" t="s">
        <v>147</v>
      </c>
      <c r="E2648" t="s">
        <v>18</v>
      </c>
      <c r="F2648" t="s">
        <v>5630</v>
      </c>
      <c r="G2648" t="str">
        <f>"00779982"</f>
        <v>00779982</v>
      </c>
      <c r="H2648">
        <v>33.6</v>
      </c>
      <c r="I2648">
        <v>10</v>
      </c>
      <c r="M2648">
        <v>0</v>
      </c>
      <c r="N2648">
        <v>0</v>
      </c>
      <c r="O2648">
        <v>0</v>
      </c>
      <c r="P2648">
        <v>43.6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0</v>
      </c>
      <c r="AC2648">
        <v>43.6</v>
      </c>
    </row>
    <row r="2649" spans="1:29">
      <c r="A2649">
        <v>2642</v>
      </c>
      <c r="B2649">
        <v>4930</v>
      </c>
      <c r="C2649" t="s">
        <v>5631</v>
      </c>
      <c r="D2649" t="s">
        <v>86</v>
      </c>
      <c r="E2649" t="s">
        <v>122</v>
      </c>
      <c r="F2649" t="s">
        <v>5632</v>
      </c>
      <c r="G2649" t="str">
        <f>"00530376"</f>
        <v>00530376</v>
      </c>
      <c r="H2649">
        <v>34.56</v>
      </c>
      <c r="I2649">
        <v>0</v>
      </c>
      <c r="M2649">
        <v>0</v>
      </c>
      <c r="N2649">
        <v>0</v>
      </c>
      <c r="O2649">
        <v>0</v>
      </c>
      <c r="P2649">
        <v>34.56</v>
      </c>
      <c r="Q2649">
        <v>6</v>
      </c>
      <c r="R2649">
        <v>6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6</v>
      </c>
      <c r="Z2649">
        <v>3</v>
      </c>
      <c r="AA2649">
        <v>0</v>
      </c>
      <c r="AC2649">
        <v>43.56</v>
      </c>
    </row>
    <row r="2650" spans="1:29">
      <c r="A2650">
        <v>2643</v>
      </c>
      <c r="B2650">
        <v>2018</v>
      </c>
      <c r="C2650" t="s">
        <v>5206</v>
      </c>
      <c r="D2650" t="s">
        <v>175</v>
      </c>
      <c r="E2650" t="s">
        <v>18</v>
      </c>
      <c r="F2650" t="s">
        <v>5633</v>
      </c>
      <c r="G2650" t="str">
        <f>"00652991"</f>
        <v>00652991</v>
      </c>
      <c r="H2650">
        <v>39.56</v>
      </c>
      <c r="I2650">
        <v>0</v>
      </c>
      <c r="M2650">
        <v>0</v>
      </c>
      <c r="N2650">
        <v>4</v>
      </c>
      <c r="O2650">
        <v>0</v>
      </c>
      <c r="P2650">
        <v>43.56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0</v>
      </c>
      <c r="AA2650">
        <v>0</v>
      </c>
      <c r="AC2650">
        <v>43.56</v>
      </c>
    </row>
    <row r="2651" spans="1:29">
      <c r="A2651">
        <v>2644</v>
      </c>
      <c r="B2651">
        <v>3801</v>
      </c>
      <c r="C2651" t="s">
        <v>178</v>
      </c>
      <c r="D2651" t="s">
        <v>35</v>
      </c>
      <c r="E2651" t="s">
        <v>18</v>
      </c>
      <c r="F2651" t="s">
        <v>5634</v>
      </c>
      <c r="G2651" t="str">
        <f>"00532266"</f>
        <v>00532266</v>
      </c>
      <c r="H2651">
        <v>29.52</v>
      </c>
      <c r="I2651">
        <v>0</v>
      </c>
      <c r="M2651">
        <v>0</v>
      </c>
      <c r="N2651">
        <v>0</v>
      </c>
      <c r="O2651">
        <v>0</v>
      </c>
      <c r="P2651">
        <v>29.52</v>
      </c>
      <c r="Q2651">
        <v>11</v>
      </c>
      <c r="R2651">
        <v>11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11</v>
      </c>
      <c r="Z2651">
        <v>3</v>
      </c>
      <c r="AA2651">
        <v>0</v>
      </c>
      <c r="AC2651">
        <v>43.52</v>
      </c>
    </row>
    <row r="2652" spans="1:29">
      <c r="A2652">
        <v>2645</v>
      </c>
      <c r="B2652">
        <v>3074</v>
      </c>
      <c r="C2652" t="s">
        <v>5635</v>
      </c>
      <c r="D2652" t="s">
        <v>147</v>
      </c>
      <c r="E2652" t="s">
        <v>66</v>
      </c>
      <c r="F2652" t="s">
        <v>5636</v>
      </c>
      <c r="G2652" t="str">
        <f>"201502003416"</f>
        <v>201502003416</v>
      </c>
      <c r="H2652">
        <v>25.52</v>
      </c>
      <c r="I2652">
        <v>10</v>
      </c>
      <c r="L2652">
        <v>4</v>
      </c>
      <c r="M2652">
        <v>4</v>
      </c>
      <c r="N2652">
        <v>4</v>
      </c>
      <c r="O2652">
        <v>0</v>
      </c>
      <c r="P2652">
        <v>43.52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0</v>
      </c>
      <c r="Z2652">
        <v>0</v>
      </c>
      <c r="AA2652">
        <v>0</v>
      </c>
      <c r="AC2652">
        <v>43.52</v>
      </c>
    </row>
    <row r="2653" spans="1:29">
      <c r="A2653">
        <v>2646</v>
      </c>
      <c r="B2653">
        <v>2317</v>
      </c>
      <c r="C2653" t="s">
        <v>5637</v>
      </c>
      <c r="D2653" t="s">
        <v>332</v>
      </c>
      <c r="E2653" t="s">
        <v>79</v>
      </c>
      <c r="F2653" t="s">
        <v>5638</v>
      </c>
      <c r="G2653" t="str">
        <f>"00509256"</f>
        <v>00509256</v>
      </c>
      <c r="H2653">
        <v>14.4</v>
      </c>
      <c r="I2653">
        <v>0</v>
      </c>
      <c r="J2653">
        <v>8</v>
      </c>
      <c r="M2653">
        <v>8</v>
      </c>
      <c r="N2653">
        <v>0</v>
      </c>
      <c r="O2653">
        <v>2</v>
      </c>
      <c r="P2653">
        <v>24.4</v>
      </c>
      <c r="Q2653">
        <v>10</v>
      </c>
      <c r="R2653">
        <v>10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10</v>
      </c>
      <c r="Z2653">
        <v>9</v>
      </c>
      <c r="AA2653">
        <v>0</v>
      </c>
      <c r="AC2653">
        <v>43.4</v>
      </c>
    </row>
    <row r="2654" spans="1:29">
      <c r="A2654">
        <v>2647</v>
      </c>
      <c r="B2654">
        <v>4672</v>
      </c>
      <c r="C2654" t="s">
        <v>5639</v>
      </c>
      <c r="D2654" t="s">
        <v>2802</v>
      </c>
      <c r="E2654" t="s">
        <v>60</v>
      </c>
      <c r="F2654" t="s">
        <v>5640</v>
      </c>
      <c r="G2654" t="str">
        <f>"00532886"</f>
        <v>00532886</v>
      </c>
      <c r="H2654">
        <v>14.4</v>
      </c>
      <c r="I2654">
        <v>0</v>
      </c>
      <c r="M2654">
        <v>0</v>
      </c>
      <c r="N2654">
        <v>4</v>
      </c>
      <c r="O2654">
        <v>2</v>
      </c>
      <c r="P2654">
        <v>20.399999999999999</v>
      </c>
      <c r="Q2654">
        <v>14</v>
      </c>
      <c r="R2654">
        <v>14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14</v>
      </c>
      <c r="Z2654">
        <v>9</v>
      </c>
      <c r="AA2654">
        <v>0</v>
      </c>
      <c r="AC2654">
        <v>43.4</v>
      </c>
    </row>
    <row r="2655" spans="1:29">
      <c r="A2655">
        <v>2648</v>
      </c>
      <c r="B2655">
        <v>3154</v>
      </c>
      <c r="C2655" t="s">
        <v>5641</v>
      </c>
      <c r="D2655" t="s">
        <v>27</v>
      </c>
      <c r="E2655" t="s">
        <v>18</v>
      </c>
      <c r="F2655" t="s">
        <v>5642</v>
      </c>
      <c r="G2655" t="str">
        <f>"00562688"</f>
        <v>00562688</v>
      </c>
      <c r="H2655">
        <v>31.4</v>
      </c>
      <c r="I2655">
        <v>0</v>
      </c>
      <c r="J2655">
        <v>8</v>
      </c>
      <c r="M2655">
        <v>8</v>
      </c>
      <c r="N2655">
        <v>4</v>
      </c>
      <c r="O2655">
        <v>0</v>
      </c>
      <c r="P2655">
        <v>43.4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0</v>
      </c>
      <c r="Z2655">
        <v>0</v>
      </c>
      <c r="AA2655">
        <v>0</v>
      </c>
      <c r="AC2655">
        <v>43.4</v>
      </c>
    </row>
    <row r="2656" spans="1:29">
      <c r="A2656">
        <v>2649</v>
      </c>
      <c r="B2656">
        <v>3773</v>
      </c>
      <c r="C2656" t="s">
        <v>5643</v>
      </c>
      <c r="D2656" t="s">
        <v>251</v>
      </c>
      <c r="E2656" t="s">
        <v>5644</v>
      </c>
      <c r="F2656" t="s">
        <v>5645</v>
      </c>
      <c r="G2656" t="str">
        <f>"00303088"</f>
        <v>00303088</v>
      </c>
      <c r="H2656">
        <v>18.28</v>
      </c>
      <c r="I2656">
        <v>10</v>
      </c>
      <c r="M2656">
        <v>0</v>
      </c>
      <c r="N2656">
        <v>4</v>
      </c>
      <c r="O2656">
        <v>2</v>
      </c>
      <c r="P2656">
        <v>34.28</v>
      </c>
      <c r="Q2656">
        <v>0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0</v>
      </c>
      <c r="Z2656">
        <v>9</v>
      </c>
      <c r="AA2656">
        <v>0</v>
      </c>
      <c r="AC2656">
        <v>43.28</v>
      </c>
    </row>
    <row r="2657" spans="1:29">
      <c r="A2657">
        <v>2650</v>
      </c>
      <c r="B2657">
        <v>4200</v>
      </c>
      <c r="C2657" t="s">
        <v>3404</v>
      </c>
      <c r="D2657" t="s">
        <v>2198</v>
      </c>
      <c r="E2657" t="s">
        <v>66</v>
      </c>
      <c r="F2657" t="s">
        <v>5646</v>
      </c>
      <c r="G2657" t="str">
        <f>"00685490"</f>
        <v>00685490</v>
      </c>
      <c r="H2657">
        <v>25.2</v>
      </c>
      <c r="I2657">
        <v>0</v>
      </c>
      <c r="J2657">
        <v>8</v>
      </c>
      <c r="M2657">
        <v>8</v>
      </c>
      <c r="N2657">
        <v>4</v>
      </c>
      <c r="O2657">
        <v>0</v>
      </c>
      <c r="P2657">
        <v>37.200000000000003</v>
      </c>
      <c r="Q2657">
        <v>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v>6</v>
      </c>
      <c r="AA2657">
        <v>0</v>
      </c>
      <c r="AC2657">
        <v>43.2</v>
      </c>
    </row>
    <row r="2658" spans="1:29">
      <c r="A2658">
        <v>2651</v>
      </c>
      <c r="B2658">
        <v>2376</v>
      </c>
      <c r="C2658" t="s">
        <v>5647</v>
      </c>
      <c r="D2658" t="s">
        <v>145</v>
      </c>
      <c r="E2658" t="s">
        <v>2568</v>
      </c>
      <c r="F2658" t="s">
        <v>5648</v>
      </c>
      <c r="G2658" t="str">
        <f>"00862721"</f>
        <v>00862721</v>
      </c>
      <c r="H2658">
        <v>34.200000000000003</v>
      </c>
      <c r="I2658">
        <v>0</v>
      </c>
      <c r="M2658">
        <v>0</v>
      </c>
      <c r="N2658">
        <v>4</v>
      </c>
      <c r="O2658">
        <v>2</v>
      </c>
      <c r="P2658">
        <v>40.200000000000003</v>
      </c>
      <c r="Q2658">
        <v>0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3</v>
      </c>
      <c r="AA2658">
        <v>0</v>
      </c>
      <c r="AC2658">
        <v>43.2</v>
      </c>
    </row>
    <row r="2659" spans="1:29">
      <c r="A2659">
        <v>2652</v>
      </c>
      <c r="B2659">
        <v>460</v>
      </c>
      <c r="C2659" t="s">
        <v>1792</v>
      </c>
      <c r="D2659" t="s">
        <v>113</v>
      </c>
      <c r="E2659" t="s">
        <v>36</v>
      </c>
      <c r="F2659" t="s">
        <v>5661</v>
      </c>
      <c r="G2659" t="str">
        <f>"00644158"</f>
        <v>00644158</v>
      </c>
      <c r="H2659">
        <v>43.2</v>
      </c>
      <c r="I2659">
        <v>0</v>
      </c>
      <c r="M2659">
        <v>0</v>
      </c>
      <c r="N2659">
        <v>0</v>
      </c>
      <c r="O2659">
        <v>0</v>
      </c>
      <c r="P2659">
        <v>43.2</v>
      </c>
      <c r="Q2659">
        <v>0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0</v>
      </c>
      <c r="AC2659">
        <v>43.2</v>
      </c>
    </row>
    <row r="2660" spans="1:29">
      <c r="A2660">
        <v>2653</v>
      </c>
      <c r="B2660">
        <v>4691</v>
      </c>
      <c r="C2660" t="s">
        <v>726</v>
      </c>
      <c r="D2660" t="s">
        <v>5667</v>
      </c>
      <c r="E2660" t="s">
        <v>50</v>
      </c>
      <c r="F2660" t="s">
        <v>5668</v>
      </c>
      <c r="G2660" t="str">
        <f>"00866533"</f>
        <v>00866533</v>
      </c>
      <c r="H2660">
        <v>43.2</v>
      </c>
      <c r="I2660">
        <v>0</v>
      </c>
      <c r="M2660">
        <v>0</v>
      </c>
      <c r="N2660">
        <v>0</v>
      </c>
      <c r="O2660">
        <v>0</v>
      </c>
      <c r="P2660">
        <v>43.2</v>
      </c>
      <c r="Q2660">
        <v>0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0</v>
      </c>
      <c r="Z2660">
        <v>0</v>
      </c>
      <c r="AA2660">
        <v>0</v>
      </c>
      <c r="AC2660">
        <v>43.2</v>
      </c>
    </row>
    <row r="2661" spans="1:29">
      <c r="A2661">
        <v>2654</v>
      </c>
      <c r="B2661">
        <v>1158</v>
      </c>
      <c r="C2661" t="s">
        <v>5656</v>
      </c>
      <c r="D2661" t="s">
        <v>27</v>
      </c>
      <c r="E2661" t="s">
        <v>79</v>
      </c>
      <c r="F2661" t="s">
        <v>5657</v>
      </c>
      <c r="G2661" t="str">
        <f>"00856778"</f>
        <v>00856778</v>
      </c>
      <c r="H2661">
        <v>43.2</v>
      </c>
      <c r="I2661">
        <v>0</v>
      </c>
      <c r="M2661">
        <v>0</v>
      </c>
      <c r="N2661">
        <v>0</v>
      </c>
      <c r="O2661">
        <v>0</v>
      </c>
      <c r="P2661">
        <v>43.2</v>
      </c>
      <c r="Q2661">
        <v>0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v>0</v>
      </c>
      <c r="AA2661">
        <v>0</v>
      </c>
      <c r="AC2661">
        <v>43.2</v>
      </c>
    </row>
    <row r="2662" spans="1:29">
      <c r="A2662">
        <v>2655</v>
      </c>
      <c r="B2662">
        <v>328</v>
      </c>
      <c r="C2662" t="s">
        <v>5650</v>
      </c>
      <c r="D2662" t="s">
        <v>52</v>
      </c>
      <c r="E2662" t="s">
        <v>777</v>
      </c>
      <c r="F2662" t="s">
        <v>5651</v>
      </c>
      <c r="G2662" t="str">
        <f>"00857951"</f>
        <v>00857951</v>
      </c>
      <c r="H2662">
        <v>43.2</v>
      </c>
      <c r="I2662">
        <v>0</v>
      </c>
      <c r="M2662">
        <v>0</v>
      </c>
      <c r="N2662">
        <v>0</v>
      </c>
      <c r="O2662">
        <v>0</v>
      </c>
      <c r="P2662">
        <v>43.2</v>
      </c>
      <c r="Q2662">
        <v>0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  <c r="AA2662">
        <v>0</v>
      </c>
      <c r="AC2662">
        <v>43.2</v>
      </c>
    </row>
    <row r="2663" spans="1:29">
      <c r="A2663">
        <v>2656</v>
      </c>
      <c r="B2663">
        <v>1694</v>
      </c>
      <c r="C2663" t="s">
        <v>1095</v>
      </c>
      <c r="D2663" t="s">
        <v>384</v>
      </c>
      <c r="E2663" t="s">
        <v>115</v>
      </c>
      <c r="F2663" t="s">
        <v>5649</v>
      </c>
      <c r="G2663" t="str">
        <f>"00544498"</f>
        <v>00544498</v>
      </c>
      <c r="H2663">
        <v>43.2</v>
      </c>
      <c r="I2663">
        <v>0</v>
      </c>
      <c r="M2663">
        <v>0</v>
      </c>
      <c r="N2663">
        <v>0</v>
      </c>
      <c r="O2663">
        <v>0</v>
      </c>
      <c r="P2663">
        <v>43.2</v>
      </c>
      <c r="Q2663">
        <v>0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v>0</v>
      </c>
      <c r="AA2663">
        <v>0</v>
      </c>
      <c r="AC2663">
        <v>43.2</v>
      </c>
    </row>
    <row r="2664" spans="1:29">
      <c r="A2664">
        <v>2657</v>
      </c>
      <c r="B2664">
        <v>803</v>
      </c>
      <c r="C2664" t="s">
        <v>5662</v>
      </c>
      <c r="D2664" t="s">
        <v>108</v>
      </c>
      <c r="E2664" t="s">
        <v>18</v>
      </c>
      <c r="F2664" t="s">
        <v>5663</v>
      </c>
      <c r="G2664" t="str">
        <f>"00857603"</f>
        <v>00857603</v>
      </c>
      <c r="H2664">
        <v>43.2</v>
      </c>
      <c r="I2664">
        <v>0</v>
      </c>
      <c r="M2664">
        <v>0</v>
      </c>
      <c r="N2664">
        <v>0</v>
      </c>
      <c r="O2664">
        <v>0</v>
      </c>
      <c r="P2664">
        <v>43.2</v>
      </c>
      <c r="Q2664">
        <v>0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  <c r="AA2664">
        <v>0</v>
      </c>
      <c r="AC2664">
        <v>43.2</v>
      </c>
    </row>
    <row r="2665" spans="1:29">
      <c r="A2665">
        <v>2658</v>
      </c>
      <c r="B2665">
        <v>1596</v>
      </c>
      <c r="C2665" t="s">
        <v>5658</v>
      </c>
      <c r="D2665" t="s">
        <v>5659</v>
      </c>
      <c r="E2665" t="s">
        <v>2568</v>
      </c>
      <c r="F2665" t="s">
        <v>5660</v>
      </c>
      <c r="G2665" t="str">
        <f>"00856887"</f>
        <v>00856887</v>
      </c>
      <c r="H2665">
        <v>43.2</v>
      </c>
      <c r="I2665">
        <v>0</v>
      </c>
      <c r="M2665">
        <v>0</v>
      </c>
      <c r="N2665">
        <v>0</v>
      </c>
      <c r="O2665">
        <v>0</v>
      </c>
      <c r="P2665">
        <v>43.2</v>
      </c>
      <c r="Q2665">
        <v>0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0</v>
      </c>
      <c r="Z2665">
        <v>0</v>
      </c>
      <c r="AA2665">
        <v>0</v>
      </c>
      <c r="AC2665">
        <v>43.2</v>
      </c>
    </row>
    <row r="2666" spans="1:29">
      <c r="A2666">
        <v>2659</v>
      </c>
      <c r="B2666">
        <v>2457</v>
      </c>
      <c r="C2666" t="s">
        <v>5664</v>
      </c>
      <c r="D2666" t="s">
        <v>5665</v>
      </c>
      <c r="E2666" t="s">
        <v>460</v>
      </c>
      <c r="F2666" t="s">
        <v>5666</v>
      </c>
      <c r="G2666" t="str">
        <f>"00863629"</f>
        <v>00863629</v>
      </c>
      <c r="H2666">
        <v>43.2</v>
      </c>
      <c r="I2666">
        <v>0</v>
      </c>
      <c r="M2666">
        <v>0</v>
      </c>
      <c r="N2666">
        <v>0</v>
      </c>
      <c r="O2666">
        <v>0</v>
      </c>
      <c r="P2666">
        <v>43.2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0</v>
      </c>
      <c r="AC2666">
        <v>43.2</v>
      </c>
    </row>
    <row r="2667" spans="1:29">
      <c r="A2667">
        <v>2660</v>
      </c>
      <c r="B2667">
        <v>4377</v>
      </c>
      <c r="C2667" t="s">
        <v>5652</v>
      </c>
      <c r="D2667" t="s">
        <v>124</v>
      </c>
      <c r="E2667" t="s">
        <v>79</v>
      </c>
      <c r="F2667" t="s">
        <v>5653</v>
      </c>
      <c r="G2667" t="str">
        <f>"00528646"</f>
        <v>00528646</v>
      </c>
      <c r="H2667">
        <v>43.2</v>
      </c>
      <c r="I2667">
        <v>0</v>
      </c>
      <c r="M2667">
        <v>0</v>
      </c>
      <c r="N2667">
        <v>0</v>
      </c>
      <c r="O2667">
        <v>0</v>
      </c>
      <c r="P2667">
        <v>43.2</v>
      </c>
      <c r="Q2667">
        <v>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v>0</v>
      </c>
      <c r="AA2667">
        <v>0</v>
      </c>
      <c r="AC2667">
        <v>43.2</v>
      </c>
    </row>
    <row r="2668" spans="1:29">
      <c r="A2668">
        <v>2661</v>
      </c>
      <c r="B2668">
        <v>2956</v>
      </c>
      <c r="C2668" t="s">
        <v>5654</v>
      </c>
      <c r="D2668" t="s">
        <v>159</v>
      </c>
      <c r="E2668" t="s">
        <v>134</v>
      </c>
      <c r="F2668" t="s">
        <v>5655</v>
      </c>
      <c r="G2668" t="str">
        <f>"00860608"</f>
        <v>00860608</v>
      </c>
      <c r="H2668">
        <v>43.2</v>
      </c>
      <c r="I2668">
        <v>0</v>
      </c>
      <c r="M2668">
        <v>0</v>
      </c>
      <c r="N2668">
        <v>0</v>
      </c>
      <c r="O2668">
        <v>0</v>
      </c>
      <c r="P2668">
        <v>43.2</v>
      </c>
      <c r="Q2668">
        <v>0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v>0</v>
      </c>
      <c r="AA2668">
        <v>0</v>
      </c>
      <c r="AC2668">
        <v>43.2</v>
      </c>
    </row>
    <row r="2669" spans="1:29">
      <c r="A2669">
        <v>2662</v>
      </c>
      <c r="B2669">
        <v>4816</v>
      </c>
      <c r="C2669" t="s">
        <v>178</v>
      </c>
      <c r="D2669" t="s">
        <v>31</v>
      </c>
      <c r="E2669" t="s">
        <v>115</v>
      </c>
      <c r="F2669" t="s">
        <v>5673</v>
      </c>
      <c r="G2669" t="str">
        <f>"00864484"</f>
        <v>00864484</v>
      </c>
      <c r="H2669">
        <v>39.200000000000003</v>
      </c>
      <c r="I2669">
        <v>0</v>
      </c>
      <c r="L2669">
        <v>4</v>
      </c>
      <c r="M2669">
        <v>4</v>
      </c>
      <c r="N2669">
        <v>0</v>
      </c>
      <c r="O2669">
        <v>0</v>
      </c>
      <c r="P2669">
        <v>43.2</v>
      </c>
      <c r="Q2669">
        <v>0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0</v>
      </c>
      <c r="AA2669">
        <v>0</v>
      </c>
      <c r="AC2669">
        <v>43.2</v>
      </c>
    </row>
    <row r="2670" spans="1:29">
      <c r="A2670">
        <v>2663</v>
      </c>
      <c r="B2670">
        <v>109</v>
      </c>
      <c r="C2670" t="s">
        <v>5671</v>
      </c>
      <c r="D2670" t="s">
        <v>1810</v>
      </c>
      <c r="E2670" t="s">
        <v>53</v>
      </c>
      <c r="F2670" t="s">
        <v>5672</v>
      </c>
      <c r="G2670" t="str">
        <f>"00704096"</f>
        <v>00704096</v>
      </c>
      <c r="H2670">
        <v>39.200000000000003</v>
      </c>
      <c r="I2670">
        <v>0</v>
      </c>
      <c r="M2670">
        <v>0</v>
      </c>
      <c r="N2670">
        <v>4</v>
      </c>
      <c r="O2670">
        <v>0</v>
      </c>
      <c r="P2670">
        <v>43.2</v>
      </c>
      <c r="Q2670">
        <v>0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0</v>
      </c>
      <c r="Z2670">
        <v>0</v>
      </c>
      <c r="AA2670">
        <v>0</v>
      </c>
      <c r="AC2670">
        <v>43.2</v>
      </c>
    </row>
    <row r="2671" spans="1:29">
      <c r="A2671">
        <v>2664</v>
      </c>
      <c r="B2671">
        <v>1970</v>
      </c>
      <c r="C2671" t="s">
        <v>5669</v>
      </c>
      <c r="D2671" t="s">
        <v>27</v>
      </c>
      <c r="E2671" t="s">
        <v>32</v>
      </c>
      <c r="F2671" t="s">
        <v>5670</v>
      </c>
      <c r="G2671" t="str">
        <f>"00318713"</f>
        <v>00318713</v>
      </c>
      <c r="H2671">
        <v>39.200000000000003</v>
      </c>
      <c r="I2671">
        <v>0</v>
      </c>
      <c r="M2671">
        <v>0</v>
      </c>
      <c r="N2671">
        <v>4</v>
      </c>
      <c r="O2671">
        <v>0</v>
      </c>
      <c r="P2671">
        <v>43.2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v>0</v>
      </c>
      <c r="AA2671">
        <v>0</v>
      </c>
      <c r="AC2671">
        <v>43.2</v>
      </c>
    </row>
    <row r="2672" spans="1:29">
      <c r="A2672">
        <v>2665</v>
      </c>
      <c r="B2672">
        <v>3046</v>
      </c>
      <c r="C2672" t="s">
        <v>2070</v>
      </c>
      <c r="D2672" t="s">
        <v>20</v>
      </c>
      <c r="E2672" t="s">
        <v>66</v>
      </c>
      <c r="F2672" t="s">
        <v>5674</v>
      </c>
      <c r="G2672" t="str">
        <f>"200910000500"</f>
        <v>200910000500</v>
      </c>
      <c r="H2672">
        <v>37.200000000000003</v>
      </c>
      <c r="I2672">
        <v>0</v>
      </c>
      <c r="M2672">
        <v>0</v>
      </c>
      <c r="N2672">
        <v>4</v>
      </c>
      <c r="O2672">
        <v>2</v>
      </c>
      <c r="P2672">
        <v>43.2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0</v>
      </c>
      <c r="Z2672">
        <v>0</v>
      </c>
      <c r="AA2672">
        <v>0</v>
      </c>
      <c r="AC2672">
        <v>43.2</v>
      </c>
    </row>
    <row r="2673" spans="1:29">
      <c r="A2673">
        <v>2666</v>
      </c>
      <c r="B2673">
        <v>736</v>
      </c>
      <c r="C2673" t="s">
        <v>445</v>
      </c>
      <c r="D2673" t="s">
        <v>52</v>
      </c>
      <c r="E2673" t="s">
        <v>156</v>
      </c>
      <c r="F2673" t="s">
        <v>5675</v>
      </c>
      <c r="G2673" t="str">
        <f>"00701440"</f>
        <v>00701440</v>
      </c>
      <c r="H2673">
        <v>35.200000000000003</v>
      </c>
      <c r="I2673">
        <v>0</v>
      </c>
      <c r="L2673">
        <v>4</v>
      </c>
      <c r="M2673">
        <v>4</v>
      </c>
      <c r="N2673">
        <v>4</v>
      </c>
      <c r="O2673">
        <v>0</v>
      </c>
      <c r="P2673">
        <v>43.2</v>
      </c>
      <c r="Q2673">
        <v>0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0</v>
      </c>
      <c r="Z2673">
        <v>0</v>
      </c>
      <c r="AA2673">
        <v>0</v>
      </c>
      <c r="AC2673">
        <v>43.2</v>
      </c>
    </row>
    <row r="2674" spans="1:29">
      <c r="A2674">
        <v>2667</v>
      </c>
      <c r="B2674">
        <v>227</v>
      </c>
      <c r="C2674" t="s">
        <v>5676</v>
      </c>
      <c r="D2674" t="s">
        <v>39</v>
      </c>
      <c r="E2674" t="s">
        <v>621</v>
      </c>
      <c r="F2674" t="s">
        <v>5677</v>
      </c>
      <c r="G2674" t="str">
        <f>"00858519"</f>
        <v>00858519</v>
      </c>
      <c r="H2674">
        <v>33.200000000000003</v>
      </c>
      <c r="I2674">
        <v>10</v>
      </c>
      <c r="M2674">
        <v>0</v>
      </c>
      <c r="N2674">
        <v>0</v>
      </c>
      <c r="O2674">
        <v>0</v>
      </c>
      <c r="P2674">
        <v>43.2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0</v>
      </c>
      <c r="Z2674">
        <v>0</v>
      </c>
      <c r="AA2674">
        <v>0</v>
      </c>
      <c r="AC2674">
        <v>43.2</v>
      </c>
    </row>
    <row r="2675" spans="1:29">
      <c r="A2675">
        <v>2668</v>
      </c>
      <c r="B2675">
        <v>1062</v>
      </c>
      <c r="C2675" t="s">
        <v>260</v>
      </c>
      <c r="D2675" t="s">
        <v>145</v>
      </c>
      <c r="E2675" t="s">
        <v>89</v>
      </c>
      <c r="F2675" t="s">
        <v>5678</v>
      </c>
      <c r="G2675" t="str">
        <f>"201411001591"</f>
        <v>201411001591</v>
      </c>
      <c r="H2675">
        <v>31.2</v>
      </c>
      <c r="I2675">
        <v>0</v>
      </c>
      <c r="J2675">
        <v>8</v>
      </c>
      <c r="M2675">
        <v>8</v>
      </c>
      <c r="N2675">
        <v>4</v>
      </c>
      <c r="O2675">
        <v>0</v>
      </c>
      <c r="P2675">
        <v>43.2</v>
      </c>
      <c r="Q2675">
        <v>0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v>0</v>
      </c>
      <c r="AA2675">
        <v>0</v>
      </c>
      <c r="AC2675">
        <v>43.2</v>
      </c>
    </row>
    <row r="2676" spans="1:29">
      <c r="A2676">
        <v>2669</v>
      </c>
      <c r="B2676">
        <v>192</v>
      </c>
      <c r="C2676" t="s">
        <v>5679</v>
      </c>
      <c r="D2676" t="s">
        <v>2162</v>
      </c>
      <c r="E2676" t="s">
        <v>187</v>
      </c>
      <c r="F2676" t="s">
        <v>5680</v>
      </c>
      <c r="G2676" t="str">
        <f>"00857905"</f>
        <v>00857905</v>
      </c>
      <c r="H2676">
        <v>30.16</v>
      </c>
      <c r="I2676">
        <v>0</v>
      </c>
      <c r="M2676">
        <v>0</v>
      </c>
      <c r="N2676">
        <v>4</v>
      </c>
      <c r="O2676">
        <v>0</v>
      </c>
      <c r="P2676">
        <v>34.159999999999997</v>
      </c>
      <c r="Q2676">
        <v>0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0</v>
      </c>
      <c r="Z2676">
        <v>9</v>
      </c>
      <c r="AA2676">
        <v>0</v>
      </c>
      <c r="AC2676">
        <v>43.16</v>
      </c>
    </row>
    <row r="2677" spans="1:29">
      <c r="A2677">
        <v>2670</v>
      </c>
      <c r="B2677">
        <v>4501</v>
      </c>
      <c r="C2677" t="s">
        <v>5681</v>
      </c>
      <c r="D2677" t="s">
        <v>27</v>
      </c>
      <c r="E2677" t="s">
        <v>28</v>
      </c>
      <c r="F2677" t="s">
        <v>5682</v>
      </c>
      <c r="G2677" t="str">
        <f>"00488625"</f>
        <v>00488625</v>
      </c>
      <c r="H2677">
        <v>22.16</v>
      </c>
      <c r="I2677">
        <v>10</v>
      </c>
      <c r="M2677">
        <v>0</v>
      </c>
      <c r="N2677">
        <v>4</v>
      </c>
      <c r="O2677">
        <v>2</v>
      </c>
      <c r="P2677">
        <v>38.159999999999997</v>
      </c>
      <c r="Q2677">
        <v>5</v>
      </c>
      <c r="R2677">
        <v>5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5</v>
      </c>
      <c r="Z2677">
        <v>0</v>
      </c>
      <c r="AA2677">
        <v>0</v>
      </c>
      <c r="AC2677">
        <v>43.16</v>
      </c>
    </row>
    <row r="2678" spans="1:29">
      <c r="A2678">
        <v>2671</v>
      </c>
      <c r="B2678">
        <v>1846</v>
      </c>
      <c r="C2678" t="s">
        <v>1032</v>
      </c>
      <c r="D2678" t="s">
        <v>49</v>
      </c>
      <c r="E2678" t="s">
        <v>1512</v>
      </c>
      <c r="F2678" t="s">
        <v>5683</v>
      </c>
      <c r="G2678" t="str">
        <f>"00281273"</f>
        <v>00281273</v>
      </c>
      <c r="H2678">
        <v>35.119999999999997</v>
      </c>
      <c r="I2678">
        <v>0</v>
      </c>
      <c r="M2678">
        <v>0</v>
      </c>
      <c r="N2678">
        <v>0</v>
      </c>
      <c r="O2678">
        <v>2</v>
      </c>
      <c r="P2678">
        <v>37.119999999999997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0</v>
      </c>
      <c r="Z2678">
        <v>6</v>
      </c>
      <c r="AA2678">
        <v>0</v>
      </c>
      <c r="AC2678">
        <v>43.12</v>
      </c>
    </row>
    <row r="2679" spans="1:29">
      <c r="A2679">
        <v>2672</v>
      </c>
      <c r="B2679">
        <v>1294</v>
      </c>
      <c r="C2679" t="s">
        <v>5684</v>
      </c>
      <c r="D2679" t="s">
        <v>27</v>
      </c>
      <c r="E2679" t="s">
        <v>28</v>
      </c>
      <c r="F2679" t="s">
        <v>5685</v>
      </c>
      <c r="G2679" t="str">
        <f>"200801004359"</f>
        <v>200801004359</v>
      </c>
      <c r="H2679">
        <v>18.12</v>
      </c>
      <c r="I2679">
        <v>10</v>
      </c>
      <c r="K2679">
        <v>6</v>
      </c>
      <c r="M2679">
        <v>6</v>
      </c>
      <c r="N2679">
        <v>4</v>
      </c>
      <c r="O2679">
        <v>2</v>
      </c>
      <c r="P2679">
        <v>40.119999999999997</v>
      </c>
      <c r="Q2679">
        <v>0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0</v>
      </c>
      <c r="Z2679">
        <v>3</v>
      </c>
      <c r="AA2679">
        <v>0</v>
      </c>
      <c r="AC2679">
        <v>43.12</v>
      </c>
    </row>
    <row r="2680" spans="1:29">
      <c r="A2680">
        <v>2673</v>
      </c>
      <c r="B2680">
        <v>1954</v>
      </c>
      <c r="C2680" t="s">
        <v>762</v>
      </c>
      <c r="D2680" t="s">
        <v>164</v>
      </c>
      <c r="E2680" t="s">
        <v>292</v>
      </c>
      <c r="F2680" t="s">
        <v>5686</v>
      </c>
      <c r="G2680" t="str">
        <f>"201604006006"</f>
        <v>201604006006</v>
      </c>
      <c r="H2680">
        <v>21.08</v>
      </c>
      <c r="I2680">
        <v>10</v>
      </c>
      <c r="M2680">
        <v>0</v>
      </c>
      <c r="N2680">
        <v>4</v>
      </c>
      <c r="O2680">
        <v>2</v>
      </c>
      <c r="P2680">
        <v>37.08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6</v>
      </c>
      <c r="AA2680">
        <v>0</v>
      </c>
      <c r="AC2680">
        <v>43.08</v>
      </c>
    </row>
    <row r="2681" spans="1:29">
      <c r="A2681">
        <v>2674</v>
      </c>
      <c r="B2681">
        <v>4428</v>
      </c>
      <c r="C2681" t="s">
        <v>1908</v>
      </c>
      <c r="D2681" t="s">
        <v>39</v>
      </c>
      <c r="E2681" t="s">
        <v>36</v>
      </c>
      <c r="F2681" t="s">
        <v>5687</v>
      </c>
      <c r="G2681" t="str">
        <f>"00110589"</f>
        <v>00110589</v>
      </c>
      <c r="H2681">
        <v>31.08</v>
      </c>
      <c r="I2681">
        <v>0</v>
      </c>
      <c r="J2681">
        <v>8</v>
      </c>
      <c r="M2681">
        <v>8</v>
      </c>
      <c r="N2681">
        <v>4</v>
      </c>
      <c r="O2681">
        <v>0</v>
      </c>
      <c r="P2681">
        <v>43.08</v>
      </c>
      <c r="Q2681">
        <v>0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v>0</v>
      </c>
      <c r="AA2681">
        <v>0</v>
      </c>
      <c r="AC2681">
        <v>43.08</v>
      </c>
    </row>
    <row r="2682" spans="1:29">
      <c r="A2682">
        <v>2675</v>
      </c>
      <c r="B2682">
        <v>4143</v>
      </c>
      <c r="C2682" t="s">
        <v>5688</v>
      </c>
      <c r="D2682" t="s">
        <v>86</v>
      </c>
      <c r="E2682" t="s">
        <v>252</v>
      </c>
      <c r="F2682" t="s">
        <v>5689</v>
      </c>
      <c r="G2682" t="str">
        <f>"00532238"</f>
        <v>00532238</v>
      </c>
      <c r="H2682">
        <v>33.08</v>
      </c>
      <c r="I2682">
        <v>0</v>
      </c>
      <c r="M2682">
        <v>0</v>
      </c>
      <c r="N2682">
        <v>4</v>
      </c>
      <c r="O2682">
        <v>0</v>
      </c>
      <c r="P2682">
        <v>37.08</v>
      </c>
      <c r="Q2682">
        <v>6</v>
      </c>
      <c r="R2682">
        <v>6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6</v>
      </c>
      <c r="Z2682">
        <v>0</v>
      </c>
      <c r="AA2682">
        <v>0</v>
      </c>
      <c r="AC2682">
        <v>43.08</v>
      </c>
    </row>
    <row r="2683" spans="1:29">
      <c r="A2683">
        <v>2676</v>
      </c>
      <c r="B2683">
        <v>4159</v>
      </c>
      <c r="C2683" t="s">
        <v>5690</v>
      </c>
      <c r="D2683" t="s">
        <v>261</v>
      </c>
      <c r="E2683" t="s">
        <v>36</v>
      </c>
      <c r="F2683" t="s">
        <v>5691</v>
      </c>
      <c r="G2683" t="str">
        <f>"00686670"</f>
        <v>00686670</v>
      </c>
      <c r="H2683">
        <v>30</v>
      </c>
      <c r="I2683">
        <v>0</v>
      </c>
      <c r="M2683">
        <v>0</v>
      </c>
      <c r="N2683">
        <v>4</v>
      </c>
      <c r="O2683">
        <v>0</v>
      </c>
      <c r="P2683">
        <v>34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0</v>
      </c>
      <c r="Z2683">
        <v>9</v>
      </c>
      <c r="AA2683">
        <v>0</v>
      </c>
      <c r="AC2683">
        <v>43</v>
      </c>
    </row>
    <row r="2684" spans="1:29">
      <c r="A2684">
        <v>2677</v>
      </c>
      <c r="B2684">
        <v>1095</v>
      </c>
      <c r="C2684" t="s">
        <v>5693</v>
      </c>
      <c r="D2684" t="s">
        <v>329</v>
      </c>
      <c r="E2684" t="s">
        <v>15</v>
      </c>
      <c r="F2684" t="s">
        <v>5694</v>
      </c>
      <c r="G2684" t="str">
        <f>"201406018110"</f>
        <v>201406018110</v>
      </c>
      <c r="H2684">
        <v>36</v>
      </c>
      <c r="I2684">
        <v>0</v>
      </c>
      <c r="L2684">
        <v>4</v>
      </c>
      <c r="M2684">
        <v>4</v>
      </c>
      <c r="N2684">
        <v>0</v>
      </c>
      <c r="O2684">
        <v>0</v>
      </c>
      <c r="P2684">
        <v>40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v>3</v>
      </c>
      <c r="AA2684">
        <v>0</v>
      </c>
      <c r="AC2684">
        <v>43</v>
      </c>
    </row>
    <row r="2685" spans="1:29">
      <c r="A2685">
        <v>2678</v>
      </c>
      <c r="B2685">
        <v>3726</v>
      </c>
      <c r="C2685" t="s">
        <v>5697</v>
      </c>
      <c r="D2685" t="s">
        <v>164</v>
      </c>
      <c r="E2685" t="s">
        <v>165</v>
      </c>
      <c r="F2685" t="s">
        <v>5698</v>
      </c>
      <c r="G2685" t="str">
        <f>"200802011370"</f>
        <v>200802011370</v>
      </c>
      <c r="H2685">
        <v>36</v>
      </c>
      <c r="I2685">
        <v>0</v>
      </c>
      <c r="M2685">
        <v>0</v>
      </c>
      <c r="N2685">
        <v>4</v>
      </c>
      <c r="O2685">
        <v>0</v>
      </c>
      <c r="P2685">
        <v>40</v>
      </c>
      <c r="Q2685">
        <v>0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  <c r="Y2685">
        <v>0</v>
      </c>
      <c r="Z2685">
        <v>3</v>
      </c>
      <c r="AA2685">
        <v>0</v>
      </c>
      <c r="AB2685" t="s">
        <v>128</v>
      </c>
      <c r="AC2685">
        <v>43</v>
      </c>
    </row>
    <row r="2686" spans="1:29">
      <c r="A2686">
        <v>2679</v>
      </c>
      <c r="B2686">
        <v>3510</v>
      </c>
      <c r="C2686" t="s">
        <v>2607</v>
      </c>
      <c r="D2686" t="s">
        <v>952</v>
      </c>
      <c r="E2686" t="s">
        <v>15</v>
      </c>
      <c r="F2686" t="s">
        <v>5700</v>
      </c>
      <c r="G2686" t="str">
        <f>"00854844"</f>
        <v>00854844</v>
      </c>
      <c r="H2686">
        <v>36</v>
      </c>
      <c r="I2686">
        <v>0</v>
      </c>
      <c r="M2686">
        <v>0</v>
      </c>
      <c r="N2686">
        <v>4</v>
      </c>
      <c r="O2686">
        <v>0</v>
      </c>
      <c r="P2686">
        <v>40</v>
      </c>
      <c r="Q2686">
        <v>0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3</v>
      </c>
      <c r="AA2686">
        <v>0</v>
      </c>
      <c r="AC2686">
        <v>43</v>
      </c>
    </row>
    <row r="2687" spans="1:29">
      <c r="A2687">
        <v>2680</v>
      </c>
      <c r="B2687">
        <v>3401</v>
      </c>
      <c r="C2687" t="s">
        <v>5695</v>
      </c>
      <c r="D2687" t="s">
        <v>2487</v>
      </c>
      <c r="E2687" t="s">
        <v>156</v>
      </c>
      <c r="F2687" t="s">
        <v>5696</v>
      </c>
      <c r="G2687" t="str">
        <f>"00805843"</f>
        <v>00805843</v>
      </c>
      <c r="H2687">
        <v>36</v>
      </c>
      <c r="I2687">
        <v>0</v>
      </c>
      <c r="L2687">
        <v>4</v>
      </c>
      <c r="M2687">
        <v>4</v>
      </c>
      <c r="N2687">
        <v>0</v>
      </c>
      <c r="O2687">
        <v>0</v>
      </c>
      <c r="P2687">
        <v>40</v>
      </c>
      <c r="Q2687">
        <v>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0</v>
      </c>
      <c r="Y2687">
        <v>0</v>
      </c>
      <c r="Z2687">
        <v>3</v>
      </c>
      <c r="AA2687">
        <v>0</v>
      </c>
      <c r="AC2687">
        <v>43</v>
      </c>
    </row>
    <row r="2688" spans="1:29">
      <c r="A2688">
        <v>2681</v>
      </c>
      <c r="B2688">
        <v>2782</v>
      </c>
      <c r="C2688" t="s">
        <v>5702</v>
      </c>
      <c r="D2688" t="s">
        <v>400</v>
      </c>
      <c r="E2688" t="s">
        <v>15</v>
      </c>
      <c r="F2688" t="s">
        <v>5703</v>
      </c>
      <c r="G2688" t="str">
        <f>"00557099"</f>
        <v>00557099</v>
      </c>
      <c r="H2688">
        <v>36</v>
      </c>
      <c r="I2688">
        <v>0</v>
      </c>
      <c r="M2688">
        <v>0</v>
      </c>
      <c r="N2688">
        <v>4</v>
      </c>
      <c r="O2688">
        <v>0</v>
      </c>
      <c r="P2688">
        <v>40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3</v>
      </c>
      <c r="AA2688">
        <v>0</v>
      </c>
      <c r="AC2688">
        <v>43</v>
      </c>
    </row>
    <row r="2689" spans="1:29">
      <c r="A2689">
        <v>2682</v>
      </c>
      <c r="B2689">
        <v>1046</v>
      </c>
      <c r="C2689" t="s">
        <v>467</v>
      </c>
      <c r="D2689" t="s">
        <v>20</v>
      </c>
      <c r="E2689" t="s">
        <v>79</v>
      </c>
      <c r="F2689" t="s">
        <v>5699</v>
      </c>
      <c r="G2689" t="str">
        <f>"00512364"</f>
        <v>00512364</v>
      </c>
      <c r="H2689">
        <v>36</v>
      </c>
      <c r="I2689">
        <v>0</v>
      </c>
      <c r="M2689">
        <v>0</v>
      </c>
      <c r="N2689">
        <v>4</v>
      </c>
      <c r="O2689">
        <v>0</v>
      </c>
      <c r="P2689">
        <v>40</v>
      </c>
      <c r="Q2689">
        <v>0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0</v>
      </c>
      <c r="Z2689">
        <v>3</v>
      </c>
      <c r="AA2689">
        <v>0</v>
      </c>
      <c r="AC2689">
        <v>43</v>
      </c>
    </row>
    <row r="2690" spans="1:29">
      <c r="A2690">
        <v>2683</v>
      </c>
      <c r="B2690">
        <v>4605</v>
      </c>
      <c r="C2690" t="s">
        <v>3797</v>
      </c>
      <c r="D2690" t="s">
        <v>69</v>
      </c>
      <c r="E2690" t="s">
        <v>115</v>
      </c>
      <c r="F2690" t="s">
        <v>5692</v>
      </c>
      <c r="G2690" t="str">
        <f>"00224313"</f>
        <v>00224313</v>
      </c>
      <c r="H2690">
        <v>36</v>
      </c>
      <c r="I2690">
        <v>0</v>
      </c>
      <c r="M2690">
        <v>0</v>
      </c>
      <c r="N2690">
        <v>4</v>
      </c>
      <c r="O2690">
        <v>0</v>
      </c>
      <c r="P2690">
        <v>40</v>
      </c>
      <c r="Q2690">
        <v>0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0</v>
      </c>
      <c r="Y2690">
        <v>0</v>
      </c>
      <c r="Z2690">
        <v>3</v>
      </c>
      <c r="AA2690">
        <v>0</v>
      </c>
      <c r="AC2690">
        <v>43</v>
      </c>
    </row>
    <row r="2691" spans="1:29">
      <c r="A2691">
        <v>2684</v>
      </c>
      <c r="B2691">
        <v>828</v>
      </c>
      <c r="C2691" t="s">
        <v>65</v>
      </c>
      <c r="D2691" t="s">
        <v>159</v>
      </c>
      <c r="E2691" t="s">
        <v>835</v>
      </c>
      <c r="F2691" t="s">
        <v>5701</v>
      </c>
      <c r="G2691" t="str">
        <f>"00200819"</f>
        <v>00200819</v>
      </c>
      <c r="H2691">
        <v>36</v>
      </c>
      <c r="I2691">
        <v>0</v>
      </c>
      <c r="M2691">
        <v>0</v>
      </c>
      <c r="N2691">
        <v>4</v>
      </c>
      <c r="O2691">
        <v>0</v>
      </c>
      <c r="P2691">
        <v>40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v>3</v>
      </c>
      <c r="AA2691">
        <v>0</v>
      </c>
      <c r="AC2691">
        <v>43</v>
      </c>
    </row>
    <row r="2692" spans="1:29">
      <c r="A2692">
        <v>2685</v>
      </c>
      <c r="B2692">
        <v>1305</v>
      </c>
      <c r="C2692" t="s">
        <v>5704</v>
      </c>
      <c r="D2692" t="s">
        <v>86</v>
      </c>
      <c r="E2692" t="s">
        <v>1855</v>
      </c>
      <c r="F2692" t="s">
        <v>5705</v>
      </c>
      <c r="G2692" t="str">
        <f>"00814438"</f>
        <v>00814438</v>
      </c>
      <c r="H2692">
        <v>36</v>
      </c>
      <c r="I2692">
        <v>0</v>
      </c>
      <c r="M2692">
        <v>0</v>
      </c>
      <c r="N2692">
        <v>4</v>
      </c>
      <c r="O2692">
        <v>0</v>
      </c>
      <c r="P2692">
        <v>40</v>
      </c>
      <c r="Q2692">
        <v>0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0</v>
      </c>
      <c r="Z2692">
        <v>3</v>
      </c>
      <c r="AA2692">
        <v>0</v>
      </c>
      <c r="AC2692">
        <v>43</v>
      </c>
    </row>
    <row r="2693" spans="1:29">
      <c r="A2693">
        <v>2686</v>
      </c>
      <c r="B2693">
        <v>2505</v>
      </c>
      <c r="C2693" t="s">
        <v>5706</v>
      </c>
      <c r="D2693" t="s">
        <v>3789</v>
      </c>
      <c r="E2693" t="s">
        <v>28</v>
      </c>
      <c r="F2693" t="s">
        <v>5707</v>
      </c>
      <c r="G2693" t="str">
        <f>"00528484"</f>
        <v>00528484</v>
      </c>
      <c r="H2693">
        <v>20</v>
      </c>
      <c r="I2693">
        <v>0</v>
      </c>
      <c r="J2693">
        <v>8</v>
      </c>
      <c r="M2693">
        <v>8</v>
      </c>
      <c r="N2693">
        <v>4</v>
      </c>
      <c r="O2693">
        <v>0</v>
      </c>
      <c r="P2693">
        <v>32</v>
      </c>
      <c r="Q2693">
        <v>8</v>
      </c>
      <c r="R2693">
        <v>8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8</v>
      </c>
      <c r="Z2693">
        <v>3</v>
      </c>
      <c r="AA2693">
        <v>0</v>
      </c>
      <c r="AB2693" t="s">
        <v>128</v>
      </c>
      <c r="AC2693">
        <v>43</v>
      </c>
    </row>
    <row r="2694" spans="1:29">
      <c r="A2694">
        <v>2687</v>
      </c>
      <c r="B2694">
        <v>3761</v>
      </c>
      <c r="C2694" t="s">
        <v>5708</v>
      </c>
      <c r="D2694" t="s">
        <v>86</v>
      </c>
      <c r="E2694" t="s">
        <v>375</v>
      </c>
      <c r="F2694" t="s">
        <v>5709</v>
      </c>
      <c r="G2694" t="str">
        <f>"00527185"</f>
        <v>00527185</v>
      </c>
      <c r="H2694">
        <v>32.92</v>
      </c>
      <c r="I2694">
        <v>0</v>
      </c>
      <c r="L2694">
        <v>4</v>
      </c>
      <c r="M2694">
        <v>4</v>
      </c>
      <c r="N2694">
        <v>4</v>
      </c>
      <c r="O2694">
        <v>2</v>
      </c>
      <c r="P2694">
        <v>42.92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0</v>
      </c>
      <c r="Z2694">
        <v>0</v>
      </c>
      <c r="AA2694">
        <v>0</v>
      </c>
      <c r="AC2694">
        <v>42.92</v>
      </c>
    </row>
    <row r="2695" spans="1:29">
      <c r="A2695">
        <v>2688</v>
      </c>
      <c r="B2695">
        <v>1443</v>
      </c>
      <c r="C2695" t="s">
        <v>178</v>
      </c>
      <c r="D2695" t="s">
        <v>159</v>
      </c>
      <c r="E2695" t="s">
        <v>36</v>
      </c>
      <c r="F2695" t="s">
        <v>5710</v>
      </c>
      <c r="G2695" t="str">
        <f>"00532577"</f>
        <v>00532577</v>
      </c>
      <c r="H2695">
        <v>32.880000000000003</v>
      </c>
      <c r="I2695">
        <v>0</v>
      </c>
      <c r="M2695">
        <v>0</v>
      </c>
      <c r="N2695">
        <v>4</v>
      </c>
      <c r="O2695">
        <v>0</v>
      </c>
      <c r="P2695">
        <v>36.880000000000003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0</v>
      </c>
      <c r="Z2695">
        <v>6</v>
      </c>
      <c r="AA2695">
        <v>0</v>
      </c>
      <c r="AC2695">
        <v>42.88</v>
      </c>
    </row>
    <row r="2696" spans="1:29">
      <c r="A2696">
        <v>2689</v>
      </c>
      <c r="B2696">
        <v>1689</v>
      </c>
      <c r="C2696" t="s">
        <v>5711</v>
      </c>
      <c r="D2696" t="s">
        <v>5712</v>
      </c>
      <c r="E2696" t="s">
        <v>60</v>
      </c>
      <c r="F2696" t="s">
        <v>5713</v>
      </c>
      <c r="G2696" t="str">
        <f>"00504411"</f>
        <v>00504411</v>
      </c>
      <c r="H2696">
        <v>9.8800000000000008</v>
      </c>
      <c r="I2696">
        <v>0</v>
      </c>
      <c r="M2696">
        <v>0</v>
      </c>
      <c r="N2696">
        <v>4</v>
      </c>
      <c r="O2696">
        <v>0</v>
      </c>
      <c r="P2696">
        <v>13.88</v>
      </c>
      <c r="Q2696">
        <v>26</v>
      </c>
      <c r="R2696">
        <v>26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26</v>
      </c>
      <c r="Z2696">
        <v>3</v>
      </c>
      <c r="AA2696">
        <v>0</v>
      </c>
      <c r="AC2696">
        <v>42.88</v>
      </c>
    </row>
    <row r="2697" spans="1:29">
      <c r="A2697">
        <v>2690</v>
      </c>
      <c r="B2697">
        <v>352</v>
      </c>
      <c r="C2697" t="s">
        <v>5714</v>
      </c>
      <c r="D2697" t="s">
        <v>5715</v>
      </c>
      <c r="E2697" t="s">
        <v>156</v>
      </c>
      <c r="F2697" t="s">
        <v>5716</v>
      </c>
      <c r="G2697" t="str">
        <f>"00856630"</f>
        <v>00856630</v>
      </c>
      <c r="H2697">
        <v>32.880000000000003</v>
      </c>
      <c r="I2697">
        <v>0</v>
      </c>
      <c r="L2697">
        <v>4</v>
      </c>
      <c r="M2697">
        <v>4</v>
      </c>
      <c r="N2697">
        <v>4</v>
      </c>
      <c r="O2697">
        <v>2</v>
      </c>
      <c r="P2697">
        <v>42.88</v>
      </c>
      <c r="Q2697">
        <v>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v>0</v>
      </c>
      <c r="AA2697">
        <v>0</v>
      </c>
      <c r="AC2697">
        <v>42.88</v>
      </c>
    </row>
    <row r="2698" spans="1:29">
      <c r="A2698">
        <v>2691</v>
      </c>
      <c r="B2698">
        <v>3771</v>
      </c>
      <c r="C2698" t="s">
        <v>5717</v>
      </c>
      <c r="D2698" t="s">
        <v>27</v>
      </c>
      <c r="E2698" t="s">
        <v>36</v>
      </c>
      <c r="F2698" t="s">
        <v>5718</v>
      </c>
      <c r="G2698" t="str">
        <f>"00507842"</f>
        <v>00507842</v>
      </c>
      <c r="H2698">
        <v>28.8</v>
      </c>
      <c r="I2698">
        <v>0</v>
      </c>
      <c r="L2698">
        <v>4</v>
      </c>
      <c r="M2698">
        <v>4</v>
      </c>
      <c r="N2698">
        <v>4</v>
      </c>
      <c r="O2698">
        <v>0</v>
      </c>
      <c r="P2698">
        <v>36.799999999999997</v>
      </c>
      <c r="Q2698">
        <v>0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0</v>
      </c>
      <c r="Z2698">
        <v>6</v>
      </c>
      <c r="AA2698">
        <v>0</v>
      </c>
      <c r="AC2698">
        <v>42.8</v>
      </c>
    </row>
    <row r="2699" spans="1:29">
      <c r="A2699">
        <v>2692</v>
      </c>
      <c r="B2699">
        <v>1635</v>
      </c>
      <c r="C2699" t="s">
        <v>5727</v>
      </c>
      <c r="D2699" t="s">
        <v>5728</v>
      </c>
      <c r="E2699" t="s">
        <v>5729</v>
      </c>
      <c r="F2699" t="s">
        <v>5730</v>
      </c>
      <c r="G2699" t="str">
        <f>"00517468"</f>
        <v>00517468</v>
      </c>
      <c r="H2699">
        <v>38.799999999999997</v>
      </c>
      <c r="I2699">
        <v>0</v>
      </c>
      <c r="L2699">
        <v>4</v>
      </c>
      <c r="M2699">
        <v>4</v>
      </c>
      <c r="N2699">
        <v>0</v>
      </c>
      <c r="O2699">
        <v>0</v>
      </c>
      <c r="P2699">
        <v>42.8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  <c r="AA2699">
        <v>0</v>
      </c>
      <c r="AC2699">
        <v>42.8</v>
      </c>
    </row>
    <row r="2700" spans="1:29">
      <c r="A2700">
        <v>2693</v>
      </c>
      <c r="B2700">
        <v>899</v>
      </c>
      <c r="C2700" t="s">
        <v>1823</v>
      </c>
      <c r="D2700" t="s">
        <v>784</v>
      </c>
      <c r="E2700" t="s">
        <v>5725</v>
      </c>
      <c r="F2700" t="s">
        <v>5726</v>
      </c>
      <c r="G2700" t="str">
        <f>"00839436"</f>
        <v>00839436</v>
      </c>
      <c r="H2700">
        <v>38.799999999999997</v>
      </c>
      <c r="I2700">
        <v>0</v>
      </c>
      <c r="L2700">
        <v>4</v>
      </c>
      <c r="M2700">
        <v>4</v>
      </c>
      <c r="N2700">
        <v>0</v>
      </c>
      <c r="O2700">
        <v>0</v>
      </c>
      <c r="P2700">
        <v>42.8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0</v>
      </c>
      <c r="AA2700">
        <v>0</v>
      </c>
      <c r="AC2700">
        <v>42.8</v>
      </c>
    </row>
    <row r="2701" spans="1:29">
      <c r="A2701">
        <v>2694</v>
      </c>
      <c r="B2701">
        <v>4453</v>
      </c>
      <c r="C2701" t="s">
        <v>5720</v>
      </c>
      <c r="D2701" t="s">
        <v>164</v>
      </c>
      <c r="E2701" t="s">
        <v>156</v>
      </c>
      <c r="F2701" t="s">
        <v>5721</v>
      </c>
      <c r="G2701" t="str">
        <f>"00497016"</f>
        <v>00497016</v>
      </c>
      <c r="H2701">
        <v>38.799999999999997</v>
      </c>
      <c r="I2701">
        <v>0</v>
      </c>
      <c r="M2701">
        <v>0</v>
      </c>
      <c r="N2701">
        <v>4</v>
      </c>
      <c r="O2701">
        <v>0</v>
      </c>
      <c r="P2701">
        <v>42.8</v>
      </c>
      <c r="Q2701">
        <v>0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0</v>
      </c>
      <c r="Z2701">
        <v>0</v>
      </c>
      <c r="AA2701">
        <v>0</v>
      </c>
      <c r="AC2701">
        <v>42.8</v>
      </c>
    </row>
    <row r="2702" spans="1:29">
      <c r="A2702">
        <v>2695</v>
      </c>
      <c r="B2702">
        <v>4241</v>
      </c>
      <c r="C2702" t="s">
        <v>5722</v>
      </c>
      <c r="D2702" t="s">
        <v>39</v>
      </c>
      <c r="E2702" t="s">
        <v>5723</v>
      </c>
      <c r="F2702" t="s">
        <v>5724</v>
      </c>
      <c r="G2702" t="str">
        <f>"00861765"</f>
        <v>00861765</v>
      </c>
      <c r="H2702">
        <v>38.799999999999997</v>
      </c>
      <c r="I2702">
        <v>0</v>
      </c>
      <c r="M2702">
        <v>0</v>
      </c>
      <c r="N2702">
        <v>4</v>
      </c>
      <c r="O2702">
        <v>0</v>
      </c>
      <c r="P2702">
        <v>42.8</v>
      </c>
      <c r="Q2702">
        <v>0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0</v>
      </c>
      <c r="AA2702">
        <v>0</v>
      </c>
      <c r="AC2702">
        <v>42.8</v>
      </c>
    </row>
    <row r="2703" spans="1:29">
      <c r="A2703">
        <v>2696</v>
      </c>
      <c r="B2703">
        <v>2302</v>
      </c>
      <c r="C2703" t="s">
        <v>178</v>
      </c>
      <c r="D2703" t="s">
        <v>1744</v>
      </c>
      <c r="E2703" t="s">
        <v>252</v>
      </c>
      <c r="F2703" t="s">
        <v>5719</v>
      </c>
      <c r="G2703" t="str">
        <f>"00547434"</f>
        <v>00547434</v>
      </c>
      <c r="H2703">
        <v>38.799999999999997</v>
      </c>
      <c r="I2703">
        <v>0</v>
      </c>
      <c r="M2703">
        <v>0</v>
      </c>
      <c r="N2703">
        <v>4</v>
      </c>
      <c r="O2703">
        <v>0</v>
      </c>
      <c r="P2703">
        <v>42.8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  <c r="AA2703">
        <v>0</v>
      </c>
      <c r="AC2703">
        <v>42.8</v>
      </c>
    </row>
    <row r="2704" spans="1:29">
      <c r="A2704">
        <v>2697</v>
      </c>
      <c r="B2704">
        <v>863</v>
      </c>
      <c r="C2704" t="s">
        <v>1076</v>
      </c>
      <c r="D2704" t="s">
        <v>20</v>
      </c>
      <c r="E2704" t="s">
        <v>777</v>
      </c>
      <c r="F2704" t="s">
        <v>5731</v>
      </c>
      <c r="G2704" t="str">
        <f>"00854417"</f>
        <v>00854417</v>
      </c>
      <c r="H2704">
        <v>36.799999999999997</v>
      </c>
      <c r="I2704">
        <v>0</v>
      </c>
      <c r="K2704">
        <v>6</v>
      </c>
      <c r="M2704">
        <v>6</v>
      </c>
      <c r="N2704">
        <v>0</v>
      </c>
      <c r="O2704">
        <v>0</v>
      </c>
      <c r="P2704">
        <v>42.8</v>
      </c>
      <c r="Q2704">
        <v>0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0</v>
      </c>
      <c r="Z2704">
        <v>0</v>
      </c>
      <c r="AA2704">
        <v>0</v>
      </c>
      <c r="AC2704">
        <v>42.8</v>
      </c>
    </row>
    <row r="2705" spans="1:29">
      <c r="A2705">
        <v>2698</v>
      </c>
      <c r="B2705">
        <v>3798</v>
      </c>
      <c r="C2705" t="s">
        <v>5107</v>
      </c>
      <c r="D2705" t="s">
        <v>5732</v>
      </c>
      <c r="E2705" t="s">
        <v>18</v>
      </c>
      <c r="F2705" t="s">
        <v>5733</v>
      </c>
      <c r="G2705" t="str">
        <f>"00859841"</f>
        <v>00859841</v>
      </c>
      <c r="H2705">
        <v>36.799999999999997</v>
      </c>
      <c r="I2705">
        <v>0</v>
      </c>
      <c r="M2705">
        <v>0</v>
      </c>
      <c r="N2705">
        <v>4</v>
      </c>
      <c r="O2705">
        <v>2</v>
      </c>
      <c r="P2705">
        <v>42.8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0</v>
      </c>
      <c r="AA2705">
        <v>0</v>
      </c>
      <c r="AC2705">
        <v>42.8</v>
      </c>
    </row>
    <row r="2706" spans="1:29">
      <c r="A2706">
        <v>2699</v>
      </c>
      <c r="B2706">
        <v>3296</v>
      </c>
      <c r="C2706" t="s">
        <v>5542</v>
      </c>
      <c r="D2706" t="s">
        <v>2044</v>
      </c>
      <c r="E2706" t="s">
        <v>233</v>
      </c>
      <c r="F2706" t="s">
        <v>5734</v>
      </c>
      <c r="G2706" t="str">
        <f>"00865163"</f>
        <v>00865163</v>
      </c>
      <c r="H2706">
        <v>32.799999999999997</v>
      </c>
      <c r="I2706">
        <v>10</v>
      </c>
      <c r="M2706">
        <v>0</v>
      </c>
      <c r="N2706">
        <v>0</v>
      </c>
      <c r="O2706">
        <v>0</v>
      </c>
      <c r="P2706">
        <v>42.8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0</v>
      </c>
      <c r="Z2706">
        <v>0</v>
      </c>
      <c r="AA2706">
        <v>0</v>
      </c>
      <c r="AC2706">
        <v>42.8</v>
      </c>
    </row>
    <row r="2707" spans="1:29">
      <c r="A2707">
        <v>2700</v>
      </c>
      <c r="B2707">
        <v>3712</v>
      </c>
      <c r="C2707" t="s">
        <v>5735</v>
      </c>
      <c r="D2707" t="s">
        <v>694</v>
      </c>
      <c r="E2707" t="s">
        <v>36</v>
      </c>
      <c r="F2707" t="s">
        <v>5736</v>
      </c>
      <c r="G2707" t="str">
        <f>"00862313"</f>
        <v>00862313</v>
      </c>
      <c r="H2707">
        <v>32.799999999999997</v>
      </c>
      <c r="I2707">
        <v>10</v>
      </c>
      <c r="M2707">
        <v>0</v>
      </c>
      <c r="N2707">
        <v>0</v>
      </c>
      <c r="O2707">
        <v>0</v>
      </c>
      <c r="P2707">
        <v>42.8</v>
      </c>
      <c r="Q2707">
        <v>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v>0</v>
      </c>
      <c r="AA2707">
        <v>0</v>
      </c>
      <c r="AC2707">
        <v>42.8</v>
      </c>
    </row>
    <row r="2708" spans="1:29">
      <c r="A2708">
        <v>2701</v>
      </c>
      <c r="B2708">
        <v>2021</v>
      </c>
      <c r="C2708" t="s">
        <v>5743</v>
      </c>
      <c r="D2708" t="s">
        <v>175</v>
      </c>
      <c r="E2708" t="s">
        <v>156</v>
      </c>
      <c r="F2708" t="s">
        <v>5744</v>
      </c>
      <c r="G2708" t="str">
        <f>"201406013857"</f>
        <v>201406013857</v>
      </c>
      <c r="H2708">
        <v>28.8</v>
      </c>
      <c r="I2708">
        <v>0</v>
      </c>
      <c r="J2708">
        <v>8</v>
      </c>
      <c r="M2708">
        <v>8</v>
      </c>
      <c r="N2708">
        <v>4</v>
      </c>
      <c r="O2708">
        <v>2</v>
      </c>
      <c r="P2708">
        <v>42.8</v>
      </c>
      <c r="Q2708">
        <v>0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v>0</v>
      </c>
      <c r="AA2708">
        <v>0</v>
      </c>
      <c r="AC2708">
        <v>42.8</v>
      </c>
    </row>
    <row r="2709" spans="1:29">
      <c r="A2709">
        <v>2702</v>
      </c>
      <c r="B2709">
        <v>3639</v>
      </c>
      <c r="C2709" t="s">
        <v>1625</v>
      </c>
      <c r="D2709" t="s">
        <v>137</v>
      </c>
      <c r="E2709" t="s">
        <v>2020</v>
      </c>
      <c r="F2709" t="s">
        <v>5740</v>
      </c>
      <c r="G2709" t="str">
        <f>"00800104"</f>
        <v>00800104</v>
      </c>
      <c r="H2709">
        <v>28.8</v>
      </c>
      <c r="I2709">
        <v>0</v>
      </c>
      <c r="J2709">
        <v>8</v>
      </c>
      <c r="M2709">
        <v>8</v>
      </c>
      <c r="N2709">
        <v>4</v>
      </c>
      <c r="O2709">
        <v>2</v>
      </c>
      <c r="P2709">
        <v>42.8</v>
      </c>
      <c r="Q2709">
        <v>0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v>0</v>
      </c>
      <c r="AA2709">
        <v>0</v>
      </c>
      <c r="AC2709">
        <v>42.8</v>
      </c>
    </row>
    <row r="2710" spans="1:29">
      <c r="A2710">
        <v>2703</v>
      </c>
      <c r="B2710">
        <v>3463</v>
      </c>
      <c r="C2710" t="s">
        <v>5762</v>
      </c>
      <c r="D2710" t="s">
        <v>1543</v>
      </c>
      <c r="E2710" t="s">
        <v>60</v>
      </c>
      <c r="F2710" t="s">
        <v>5763</v>
      </c>
      <c r="G2710" t="str">
        <f>"00859327"</f>
        <v>00859327</v>
      </c>
      <c r="H2710">
        <v>28.8</v>
      </c>
      <c r="I2710">
        <v>10</v>
      </c>
      <c r="M2710">
        <v>0</v>
      </c>
      <c r="N2710">
        <v>4</v>
      </c>
      <c r="O2710">
        <v>0</v>
      </c>
      <c r="P2710">
        <v>42.8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0</v>
      </c>
      <c r="AA2710">
        <v>0</v>
      </c>
      <c r="AC2710">
        <v>42.8</v>
      </c>
    </row>
    <row r="2711" spans="1:29">
      <c r="A2711">
        <v>2704</v>
      </c>
      <c r="B2711">
        <v>3719</v>
      </c>
      <c r="C2711" t="s">
        <v>5748</v>
      </c>
      <c r="D2711" t="s">
        <v>1278</v>
      </c>
      <c r="E2711" t="s">
        <v>36</v>
      </c>
      <c r="F2711" t="s">
        <v>5749</v>
      </c>
      <c r="G2711" t="str">
        <f>"00317495"</f>
        <v>00317495</v>
      </c>
      <c r="H2711">
        <v>28.8</v>
      </c>
      <c r="I2711">
        <v>0</v>
      </c>
      <c r="J2711">
        <v>8</v>
      </c>
      <c r="M2711">
        <v>8</v>
      </c>
      <c r="N2711">
        <v>4</v>
      </c>
      <c r="O2711">
        <v>2</v>
      </c>
      <c r="P2711">
        <v>42.8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0</v>
      </c>
      <c r="Z2711">
        <v>0</v>
      </c>
      <c r="AA2711">
        <v>0</v>
      </c>
      <c r="AC2711">
        <v>42.8</v>
      </c>
    </row>
    <row r="2712" spans="1:29">
      <c r="A2712">
        <v>2705</v>
      </c>
      <c r="B2712">
        <v>3737</v>
      </c>
      <c r="C2712" t="s">
        <v>5760</v>
      </c>
      <c r="D2712" t="s">
        <v>86</v>
      </c>
      <c r="E2712" t="s">
        <v>79</v>
      </c>
      <c r="F2712" t="s">
        <v>5761</v>
      </c>
      <c r="G2712" t="str">
        <f>"00531746"</f>
        <v>00531746</v>
      </c>
      <c r="H2712">
        <v>28.8</v>
      </c>
      <c r="I2712">
        <v>10</v>
      </c>
      <c r="M2712">
        <v>0</v>
      </c>
      <c r="N2712">
        <v>4</v>
      </c>
      <c r="O2712">
        <v>0</v>
      </c>
      <c r="P2712">
        <v>42.8</v>
      </c>
      <c r="Q2712">
        <v>0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0</v>
      </c>
      <c r="Y2712">
        <v>0</v>
      </c>
      <c r="Z2712">
        <v>0</v>
      </c>
      <c r="AA2712">
        <v>0</v>
      </c>
      <c r="AC2712">
        <v>42.8</v>
      </c>
    </row>
    <row r="2713" spans="1:29">
      <c r="A2713">
        <v>2706</v>
      </c>
      <c r="B2713">
        <v>2759</v>
      </c>
      <c r="C2713" t="s">
        <v>5750</v>
      </c>
      <c r="D2713" t="s">
        <v>1509</v>
      </c>
      <c r="E2713" t="s">
        <v>237</v>
      </c>
      <c r="F2713" t="s">
        <v>5751</v>
      </c>
      <c r="G2713" t="str">
        <f>"201511031566"</f>
        <v>201511031566</v>
      </c>
      <c r="H2713">
        <v>28.8</v>
      </c>
      <c r="I2713">
        <v>0</v>
      </c>
      <c r="J2713">
        <v>8</v>
      </c>
      <c r="M2713">
        <v>8</v>
      </c>
      <c r="N2713">
        <v>4</v>
      </c>
      <c r="O2713">
        <v>2</v>
      </c>
      <c r="P2713">
        <v>42.8</v>
      </c>
      <c r="Q2713">
        <v>0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v>0</v>
      </c>
      <c r="AA2713">
        <v>0</v>
      </c>
      <c r="AC2713">
        <v>42.8</v>
      </c>
    </row>
    <row r="2714" spans="1:29">
      <c r="A2714">
        <v>2707</v>
      </c>
      <c r="B2714">
        <v>1208</v>
      </c>
      <c r="C2714" t="s">
        <v>5754</v>
      </c>
      <c r="D2714" t="s">
        <v>134</v>
      </c>
      <c r="E2714" t="s">
        <v>115</v>
      </c>
      <c r="F2714" t="s">
        <v>5755</v>
      </c>
      <c r="G2714" t="str">
        <f>"00537614"</f>
        <v>00537614</v>
      </c>
      <c r="H2714">
        <v>28.8</v>
      </c>
      <c r="I2714">
        <v>10</v>
      </c>
      <c r="M2714">
        <v>0</v>
      </c>
      <c r="N2714">
        <v>4</v>
      </c>
      <c r="O2714">
        <v>0</v>
      </c>
      <c r="P2714">
        <v>42.8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v>0</v>
      </c>
      <c r="AA2714">
        <v>0</v>
      </c>
      <c r="AC2714">
        <v>42.8</v>
      </c>
    </row>
    <row r="2715" spans="1:29">
      <c r="A2715">
        <v>2708</v>
      </c>
      <c r="B2715">
        <v>1869</v>
      </c>
      <c r="C2715" t="s">
        <v>5758</v>
      </c>
      <c r="D2715" t="s">
        <v>39</v>
      </c>
      <c r="E2715" t="s">
        <v>15</v>
      </c>
      <c r="F2715" t="s">
        <v>5759</v>
      </c>
      <c r="G2715" t="str">
        <f>"00859339"</f>
        <v>00859339</v>
      </c>
      <c r="H2715">
        <v>28.8</v>
      </c>
      <c r="I2715">
        <v>0</v>
      </c>
      <c r="J2715">
        <v>8</v>
      </c>
      <c r="M2715">
        <v>8</v>
      </c>
      <c r="N2715">
        <v>4</v>
      </c>
      <c r="O2715">
        <v>2</v>
      </c>
      <c r="P2715">
        <v>42.8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  <c r="AA2715">
        <v>0</v>
      </c>
      <c r="AC2715">
        <v>42.8</v>
      </c>
    </row>
    <row r="2716" spans="1:29">
      <c r="A2716">
        <v>2709</v>
      </c>
      <c r="B2716">
        <v>2736</v>
      </c>
      <c r="C2716" t="s">
        <v>432</v>
      </c>
      <c r="D2716" t="s">
        <v>1150</v>
      </c>
      <c r="E2716" t="s">
        <v>15</v>
      </c>
      <c r="F2716" t="s">
        <v>5753</v>
      </c>
      <c r="G2716" t="str">
        <f>"00776162"</f>
        <v>00776162</v>
      </c>
      <c r="H2716">
        <v>28.8</v>
      </c>
      <c r="I2716">
        <v>10</v>
      </c>
      <c r="M2716">
        <v>0</v>
      </c>
      <c r="N2716">
        <v>4</v>
      </c>
      <c r="O2716">
        <v>0</v>
      </c>
      <c r="P2716">
        <v>42.8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0</v>
      </c>
      <c r="Z2716">
        <v>0</v>
      </c>
      <c r="AA2716">
        <v>0</v>
      </c>
      <c r="AC2716">
        <v>42.8</v>
      </c>
    </row>
    <row r="2717" spans="1:29">
      <c r="A2717">
        <v>2710</v>
      </c>
      <c r="B2717">
        <v>3667</v>
      </c>
      <c r="C2717" t="s">
        <v>5764</v>
      </c>
      <c r="D2717" t="s">
        <v>5765</v>
      </c>
      <c r="E2717" t="s">
        <v>5766</v>
      </c>
      <c r="F2717" t="s">
        <v>5767</v>
      </c>
      <c r="G2717" t="str">
        <f>"00622585"</f>
        <v>00622585</v>
      </c>
      <c r="H2717">
        <v>28.8</v>
      </c>
      <c r="I2717">
        <v>0</v>
      </c>
      <c r="J2717">
        <v>8</v>
      </c>
      <c r="M2717">
        <v>8</v>
      </c>
      <c r="N2717">
        <v>4</v>
      </c>
      <c r="O2717">
        <v>2</v>
      </c>
      <c r="P2717">
        <v>42.8</v>
      </c>
      <c r="Q2717">
        <v>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  <c r="AA2717">
        <v>0</v>
      </c>
      <c r="AC2717">
        <v>42.8</v>
      </c>
    </row>
    <row r="2718" spans="1:29">
      <c r="A2718">
        <v>2711</v>
      </c>
      <c r="B2718">
        <v>1102</v>
      </c>
      <c r="C2718" t="s">
        <v>5756</v>
      </c>
      <c r="D2718" t="s">
        <v>167</v>
      </c>
      <c r="E2718" t="s">
        <v>156</v>
      </c>
      <c r="F2718" t="s">
        <v>5757</v>
      </c>
      <c r="G2718" t="str">
        <f>"00857643"</f>
        <v>00857643</v>
      </c>
      <c r="H2718">
        <v>28.8</v>
      </c>
      <c r="I2718">
        <v>10</v>
      </c>
      <c r="M2718">
        <v>0</v>
      </c>
      <c r="N2718">
        <v>4</v>
      </c>
      <c r="O2718">
        <v>0</v>
      </c>
      <c r="P2718">
        <v>42.8</v>
      </c>
      <c r="Q2718">
        <v>0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  <c r="AA2718">
        <v>0</v>
      </c>
      <c r="AC2718">
        <v>42.8</v>
      </c>
    </row>
    <row r="2719" spans="1:29">
      <c r="A2719">
        <v>2712</v>
      </c>
      <c r="B2719">
        <v>3022</v>
      </c>
      <c r="C2719" t="s">
        <v>5737</v>
      </c>
      <c r="D2719" t="s">
        <v>5738</v>
      </c>
      <c r="E2719" t="s">
        <v>115</v>
      </c>
      <c r="F2719" t="s">
        <v>5739</v>
      </c>
      <c r="G2719" t="str">
        <f>"00556979"</f>
        <v>00556979</v>
      </c>
      <c r="H2719">
        <v>28.8</v>
      </c>
      <c r="I2719">
        <v>0</v>
      </c>
      <c r="J2719">
        <v>8</v>
      </c>
      <c r="M2719">
        <v>8</v>
      </c>
      <c r="N2719">
        <v>4</v>
      </c>
      <c r="O2719">
        <v>2</v>
      </c>
      <c r="P2719">
        <v>42.8</v>
      </c>
      <c r="Q2719">
        <v>0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v>0</v>
      </c>
      <c r="AA2719">
        <v>0</v>
      </c>
      <c r="AC2719">
        <v>42.8</v>
      </c>
    </row>
    <row r="2720" spans="1:29">
      <c r="A2720">
        <v>2713</v>
      </c>
      <c r="B2720">
        <v>3782</v>
      </c>
      <c r="C2720" t="s">
        <v>5741</v>
      </c>
      <c r="D2720" t="s">
        <v>27</v>
      </c>
      <c r="E2720" t="s">
        <v>18</v>
      </c>
      <c r="F2720" t="s">
        <v>5742</v>
      </c>
      <c r="G2720" t="str">
        <f>"00118227"</f>
        <v>00118227</v>
      </c>
      <c r="H2720">
        <v>28.8</v>
      </c>
      <c r="I2720">
        <v>0</v>
      </c>
      <c r="J2720">
        <v>8</v>
      </c>
      <c r="M2720">
        <v>8</v>
      </c>
      <c r="N2720">
        <v>4</v>
      </c>
      <c r="O2720">
        <v>2</v>
      </c>
      <c r="P2720">
        <v>42.8</v>
      </c>
      <c r="Q2720">
        <v>0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0</v>
      </c>
      <c r="Z2720">
        <v>0</v>
      </c>
      <c r="AA2720">
        <v>0</v>
      </c>
      <c r="AC2720">
        <v>42.8</v>
      </c>
    </row>
    <row r="2721" spans="1:29">
      <c r="A2721">
        <v>2714</v>
      </c>
      <c r="B2721">
        <v>3889</v>
      </c>
      <c r="C2721" t="s">
        <v>5745</v>
      </c>
      <c r="D2721" t="s">
        <v>27</v>
      </c>
      <c r="E2721" t="s">
        <v>224</v>
      </c>
      <c r="F2721" t="s">
        <v>5746</v>
      </c>
      <c r="G2721" t="str">
        <f>"201406002538"</f>
        <v>201406002538</v>
      </c>
      <c r="H2721">
        <v>28.8</v>
      </c>
      <c r="I2721">
        <v>0</v>
      </c>
      <c r="L2721">
        <v>8</v>
      </c>
      <c r="M2721">
        <v>8</v>
      </c>
      <c r="N2721">
        <v>4</v>
      </c>
      <c r="O2721">
        <v>2</v>
      </c>
      <c r="P2721">
        <v>42.8</v>
      </c>
      <c r="Q2721">
        <v>0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v>0</v>
      </c>
      <c r="AA2721">
        <v>0</v>
      </c>
      <c r="AC2721">
        <v>42.8</v>
      </c>
    </row>
    <row r="2722" spans="1:29">
      <c r="A2722">
        <v>2715</v>
      </c>
      <c r="B2722">
        <v>1338</v>
      </c>
      <c r="C2722" t="s">
        <v>5181</v>
      </c>
      <c r="D2722" t="s">
        <v>205</v>
      </c>
      <c r="E2722" t="s">
        <v>1263</v>
      </c>
      <c r="F2722" t="s">
        <v>5747</v>
      </c>
      <c r="G2722" t="str">
        <f>"00442287"</f>
        <v>00442287</v>
      </c>
      <c r="H2722">
        <v>28.8</v>
      </c>
      <c r="I2722">
        <v>10</v>
      </c>
      <c r="M2722">
        <v>0</v>
      </c>
      <c r="N2722">
        <v>4</v>
      </c>
      <c r="O2722">
        <v>0</v>
      </c>
      <c r="P2722">
        <v>42.8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0</v>
      </c>
      <c r="Z2722">
        <v>0</v>
      </c>
      <c r="AA2722">
        <v>0</v>
      </c>
      <c r="AC2722">
        <v>42.8</v>
      </c>
    </row>
    <row r="2723" spans="1:29">
      <c r="A2723">
        <v>2716</v>
      </c>
      <c r="B2723">
        <v>505</v>
      </c>
      <c r="C2723" t="s">
        <v>4744</v>
      </c>
      <c r="D2723" t="s">
        <v>3733</v>
      </c>
      <c r="E2723" t="s">
        <v>18</v>
      </c>
      <c r="F2723" t="s">
        <v>5752</v>
      </c>
      <c r="G2723" t="str">
        <f>"00475585"</f>
        <v>00475585</v>
      </c>
      <c r="H2723">
        <v>28.8</v>
      </c>
      <c r="I2723">
        <v>10</v>
      </c>
      <c r="M2723">
        <v>0</v>
      </c>
      <c r="N2723">
        <v>4</v>
      </c>
      <c r="O2723">
        <v>0</v>
      </c>
      <c r="P2723">
        <v>42.8</v>
      </c>
      <c r="Q2723">
        <v>0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v>0</v>
      </c>
      <c r="AA2723">
        <v>0</v>
      </c>
      <c r="AC2723">
        <v>42.8</v>
      </c>
    </row>
    <row r="2724" spans="1:29">
      <c r="A2724">
        <v>2717</v>
      </c>
      <c r="B2724">
        <v>1173</v>
      </c>
      <c r="C2724" t="s">
        <v>5768</v>
      </c>
      <c r="D2724" t="s">
        <v>930</v>
      </c>
      <c r="E2724" t="s">
        <v>28</v>
      </c>
      <c r="F2724" t="s">
        <v>5769</v>
      </c>
      <c r="G2724" t="str">
        <f>"00316745"</f>
        <v>00316745</v>
      </c>
      <c r="H2724">
        <v>28.8</v>
      </c>
      <c r="I2724">
        <v>0</v>
      </c>
      <c r="L2724">
        <v>4</v>
      </c>
      <c r="M2724">
        <v>4</v>
      </c>
      <c r="N2724">
        <v>4</v>
      </c>
      <c r="O2724">
        <v>0</v>
      </c>
      <c r="P2724">
        <v>36.799999999999997</v>
      </c>
      <c r="Q2724">
        <v>6</v>
      </c>
      <c r="R2724">
        <v>6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6</v>
      </c>
      <c r="Z2724">
        <v>0</v>
      </c>
      <c r="AA2724">
        <v>0</v>
      </c>
      <c r="AC2724">
        <v>42.8</v>
      </c>
    </row>
    <row r="2725" spans="1:29">
      <c r="A2725">
        <v>2718</v>
      </c>
      <c r="B2725">
        <v>3919</v>
      </c>
      <c r="C2725" t="s">
        <v>5770</v>
      </c>
      <c r="D2725" t="s">
        <v>170</v>
      </c>
      <c r="E2725" t="s">
        <v>5771</v>
      </c>
      <c r="F2725" t="s">
        <v>5772</v>
      </c>
      <c r="G2725" t="str">
        <f>"00445551"</f>
        <v>00445551</v>
      </c>
      <c r="H2725">
        <v>19.72</v>
      </c>
      <c r="I2725">
        <v>0</v>
      </c>
      <c r="M2725">
        <v>0</v>
      </c>
      <c r="N2725">
        <v>4</v>
      </c>
      <c r="O2725">
        <v>2</v>
      </c>
      <c r="P2725">
        <v>25.72</v>
      </c>
      <c r="Q2725">
        <v>5</v>
      </c>
      <c r="R2725">
        <v>5</v>
      </c>
      <c r="S2725">
        <v>0</v>
      </c>
      <c r="T2725">
        <v>0</v>
      </c>
      <c r="U2725">
        <v>4</v>
      </c>
      <c r="V2725">
        <v>6</v>
      </c>
      <c r="W2725">
        <v>0</v>
      </c>
      <c r="X2725">
        <v>0</v>
      </c>
      <c r="Y2725">
        <v>11</v>
      </c>
      <c r="Z2725">
        <v>6</v>
      </c>
      <c r="AA2725">
        <v>0</v>
      </c>
      <c r="AC2725">
        <v>42.72</v>
      </c>
    </row>
    <row r="2726" spans="1:29">
      <c r="A2726">
        <v>2719</v>
      </c>
      <c r="B2726">
        <v>1707</v>
      </c>
      <c r="C2726" t="s">
        <v>5773</v>
      </c>
      <c r="D2726" t="s">
        <v>2487</v>
      </c>
      <c r="E2726" t="s">
        <v>60</v>
      </c>
      <c r="F2726" t="s">
        <v>5774</v>
      </c>
      <c r="G2726" t="str">
        <f>"00526730"</f>
        <v>00526730</v>
      </c>
      <c r="H2726">
        <v>15.72</v>
      </c>
      <c r="I2726">
        <v>0</v>
      </c>
      <c r="L2726">
        <v>4</v>
      </c>
      <c r="M2726">
        <v>4</v>
      </c>
      <c r="N2726">
        <v>4</v>
      </c>
      <c r="O2726">
        <v>2</v>
      </c>
      <c r="P2726">
        <v>25.72</v>
      </c>
      <c r="Q2726">
        <v>17</v>
      </c>
      <c r="R2726">
        <v>17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17</v>
      </c>
      <c r="Z2726">
        <v>0</v>
      </c>
      <c r="AA2726">
        <v>0</v>
      </c>
      <c r="AC2726">
        <v>42.72</v>
      </c>
    </row>
    <row r="2727" spans="1:29">
      <c r="A2727">
        <v>2720</v>
      </c>
      <c r="B2727">
        <v>2214</v>
      </c>
      <c r="C2727" t="s">
        <v>2793</v>
      </c>
      <c r="D2727" t="s">
        <v>248</v>
      </c>
      <c r="E2727" t="s">
        <v>115</v>
      </c>
      <c r="F2727" t="s">
        <v>5775</v>
      </c>
      <c r="G2727" t="str">
        <f>"00470860"</f>
        <v>00470860</v>
      </c>
      <c r="H2727">
        <v>34.68</v>
      </c>
      <c r="I2727">
        <v>0</v>
      </c>
      <c r="L2727">
        <v>4</v>
      </c>
      <c r="M2727">
        <v>4</v>
      </c>
      <c r="N2727">
        <v>4</v>
      </c>
      <c r="O2727">
        <v>0</v>
      </c>
      <c r="P2727">
        <v>42.68</v>
      </c>
      <c r="Q2727">
        <v>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v>0</v>
      </c>
      <c r="AA2727">
        <v>0</v>
      </c>
      <c r="AC2727">
        <v>42.68</v>
      </c>
    </row>
    <row r="2728" spans="1:29">
      <c r="A2728">
        <v>2721</v>
      </c>
      <c r="B2728">
        <v>1739</v>
      </c>
      <c r="C2728" t="s">
        <v>3190</v>
      </c>
      <c r="D2728" t="s">
        <v>24</v>
      </c>
      <c r="E2728" t="s">
        <v>889</v>
      </c>
      <c r="F2728" t="s">
        <v>5776</v>
      </c>
      <c r="G2728" t="str">
        <f>"00862730"</f>
        <v>00862730</v>
      </c>
      <c r="H2728">
        <v>21.6</v>
      </c>
      <c r="I2728">
        <v>0</v>
      </c>
      <c r="J2728">
        <v>8</v>
      </c>
      <c r="M2728">
        <v>8</v>
      </c>
      <c r="N2728">
        <v>4</v>
      </c>
      <c r="O2728">
        <v>0</v>
      </c>
      <c r="P2728">
        <v>33.6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9</v>
      </c>
      <c r="AA2728">
        <v>0</v>
      </c>
      <c r="AC2728">
        <v>42.6</v>
      </c>
    </row>
    <row r="2729" spans="1:29">
      <c r="A2729">
        <v>2722</v>
      </c>
      <c r="B2729">
        <v>2824</v>
      </c>
      <c r="C2729" t="s">
        <v>5777</v>
      </c>
      <c r="D2729" t="s">
        <v>739</v>
      </c>
      <c r="E2729" t="s">
        <v>515</v>
      </c>
      <c r="F2729" t="s">
        <v>5778</v>
      </c>
      <c r="G2729" t="str">
        <f>"00449117"</f>
        <v>00449117</v>
      </c>
      <c r="H2729">
        <v>21.6</v>
      </c>
      <c r="I2729">
        <v>0</v>
      </c>
      <c r="L2729">
        <v>4</v>
      </c>
      <c r="M2729">
        <v>4</v>
      </c>
      <c r="N2729">
        <v>4</v>
      </c>
      <c r="O2729">
        <v>0</v>
      </c>
      <c r="P2729">
        <v>29.6</v>
      </c>
      <c r="Q2729">
        <v>7</v>
      </c>
      <c r="R2729">
        <v>7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7</v>
      </c>
      <c r="Z2729">
        <v>6</v>
      </c>
      <c r="AA2729">
        <v>0</v>
      </c>
      <c r="AC2729">
        <v>42.6</v>
      </c>
    </row>
    <row r="2730" spans="1:29">
      <c r="A2730">
        <v>2723</v>
      </c>
      <c r="B2730">
        <v>387</v>
      </c>
      <c r="C2730" t="s">
        <v>5781</v>
      </c>
      <c r="D2730" t="s">
        <v>145</v>
      </c>
      <c r="E2730" t="s">
        <v>967</v>
      </c>
      <c r="F2730" t="s">
        <v>5782</v>
      </c>
      <c r="G2730" t="str">
        <f>"00856432"</f>
        <v>00856432</v>
      </c>
      <c r="H2730">
        <v>39.6</v>
      </c>
      <c r="I2730">
        <v>0</v>
      </c>
      <c r="M2730">
        <v>0</v>
      </c>
      <c r="N2730">
        <v>0</v>
      </c>
      <c r="O2730">
        <v>0</v>
      </c>
      <c r="P2730">
        <v>39.6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0</v>
      </c>
      <c r="Z2730">
        <v>3</v>
      </c>
      <c r="AA2730">
        <v>0</v>
      </c>
      <c r="AC2730">
        <v>42.6</v>
      </c>
    </row>
    <row r="2731" spans="1:29">
      <c r="A2731">
        <v>2724</v>
      </c>
      <c r="B2731">
        <v>994</v>
      </c>
      <c r="C2731" t="s">
        <v>5779</v>
      </c>
      <c r="D2731" t="s">
        <v>739</v>
      </c>
      <c r="E2731" t="s">
        <v>165</v>
      </c>
      <c r="F2731" t="s">
        <v>5780</v>
      </c>
      <c r="G2731" t="str">
        <f>"00857484"</f>
        <v>00857484</v>
      </c>
      <c r="H2731">
        <v>39.6</v>
      </c>
      <c r="I2731">
        <v>0</v>
      </c>
      <c r="M2731">
        <v>0</v>
      </c>
      <c r="N2731">
        <v>0</v>
      </c>
      <c r="O2731">
        <v>0</v>
      </c>
      <c r="P2731">
        <v>39.6</v>
      </c>
      <c r="Q2731">
        <v>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0</v>
      </c>
      <c r="Z2731">
        <v>3</v>
      </c>
      <c r="AA2731">
        <v>0</v>
      </c>
      <c r="AC2731">
        <v>42.6</v>
      </c>
    </row>
    <row r="2732" spans="1:29">
      <c r="A2732">
        <v>2725</v>
      </c>
      <c r="B2732">
        <v>586</v>
      </c>
      <c r="C2732" t="s">
        <v>1908</v>
      </c>
      <c r="D2732" t="s">
        <v>1153</v>
      </c>
      <c r="E2732" t="s">
        <v>115</v>
      </c>
      <c r="F2732" t="s">
        <v>5783</v>
      </c>
      <c r="G2732" t="str">
        <f>"00551565"</f>
        <v>00551565</v>
      </c>
      <c r="H2732">
        <v>35.56</v>
      </c>
      <c r="I2732">
        <v>0</v>
      </c>
      <c r="M2732">
        <v>0</v>
      </c>
      <c r="N2732">
        <v>4</v>
      </c>
      <c r="O2732">
        <v>0</v>
      </c>
      <c r="P2732">
        <v>39.56</v>
      </c>
      <c r="Q2732">
        <v>0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0</v>
      </c>
      <c r="Z2732">
        <v>3</v>
      </c>
      <c r="AA2732">
        <v>0</v>
      </c>
      <c r="AC2732">
        <v>42.56</v>
      </c>
    </row>
    <row r="2733" spans="1:29">
      <c r="A2733">
        <v>2726</v>
      </c>
      <c r="B2733">
        <v>3439</v>
      </c>
      <c r="C2733" t="s">
        <v>5784</v>
      </c>
      <c r="D2733" t="s">
        <v>31</v>
      </c>
      <c r="E2733" t="s">
        <v>252</v>
      </c>
      <c r="F2733" t="s">
        <v>5785</v>
      </c>
      <c r="G2733" t="str">
        <f>"00863141"</f>
        <v>00863141</v>
      </c>
      <c r="H2733">
        <v>32.520000000000003</v>
      </c>
      <c r="I2733">
        <v>0</v>
      </c>
      <c r="M2733">
        <v>0</v>
      </c>
      <c r="N2733">
        <v>4</v>
      </c>
      <c r="O2733">
        <v>0</v>
      </c>
      <c r="P2733">
        <v>36.520000000000003</v>
      </c>
      <c r="Q2733">
        <v>0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0</v>
      </c>
      <c r="Z2733">
        <v>6</v>
      </c>
      <c r="AA2733">
        <v>0</v>
      </c>
      <c r="AC2733">
        <v>42.52</v>
      </c>
    </row>
    <row r="2734" spans="1:29">
      <c r="A2734">
        <v>2727</v>
      </c>
      <c r="B2734">
        <v>3898</v>
      </c>
      <c r="C2734" t="s">
        <v>5513</v>
      </c>
      <c r="D2734" t="s">
        <v>24</v>
      </c>
      <c r="E2734" t="s">
        <v>134</v>
      </c>
      <c r="F2734" t="s">
        <v>5786</v>
      </c>
      <c r="G2734" t="str">
        <f>"00858927"</f>
        <v>00858927</v>
      </c>
      <c r="H2734">
        <v>32.44</v>
      </c>
      <c r="I2734">
        <v>0</v>
      </c>
      <c r="M2734">
        <v>0</v>
      </c>
      <c r="N2734">
        <v>4</v>
      </c>
      <c r="O2734">
        <v>0</v>
      </c>
      <c r="P2734">
        <v>36.44</v>
      </c>
      <c r="Q2734">
        <v>0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0</v>
      </c>
      <c r="Z2734">
        <v>6</v>
      </c>
      <c r="AA2734">
        <v>0</v>
      </c>
      <c r="AC2734">
        <v>42.44</v>
      </c>
    </row>
    <row r="2735" spans="1:29">
      <c r="A2735">
        <v>2728</v>
      </c>
      <c r="B2735">
        <v>1221</v>
      </c>
      <c r="C2735" t="s">
        <v>559</v>
      </c>
      <c r="D2735" t="s">
        <v>248</v>
      </c>
      <c r="E2735" t="s">
        <v>122</v>
      </c>
      <c r="F2735" t="s">
        <v>5787</v>
      </c>
      <c r="G2735" t="str">
        <f>"00023846"</f>
        <v>00023846</v>
      </c>
      <c r="H2735">
        <v>14.4</v>
      </c>
      <c r="I2735">
        <v>10</v>
      </c>
      <c r="L2735">
        <v>4</v>
      </c>
      <c r="M2735">
        <v>4</v>
      </c>
      <c r="N2735">
        <v>4</v>
      </c>
      <c r="O2735">
        <v>0</v>
      </c>
      <c r="P2735">
        <v>32.4</v>
      </c>
      <c r="Q2735">
        <v>4</v>
      </c>
      <c r="R2735">
        <v>4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4</v>
      </c>
      <c r="Z2735">
        <v>6</v>
      </c>
      <c r="AA2735">
        <v>0</v>
      </c>
      <c r="AC2735">
        <v>42.4</v>
      </c>
    </row>
    <row r="2736" spans="1:29">
      <c r="A2736">
        <v>2729</v>
      </c>
      <c r="B2736">
        <v>4072</v>
      </c>
      <c r="C2736" t="s">
        <v>4006</v>
      </c>
      <c r="D2736" t="s">
        <v>301</v>
      </c>
      <c r="E2736" t="s">
        <v>36</v>
      </c>
      <c r="F2736" t="s">
        <v>5790</v>
      </c>
      <c r="G2736" t="str">
        <f>"00863793"</f>
        <v>00863793</v>
      </c>
      <c r="H2736">
        <v>36.4</v>
      </c>
      <c r="I2736">
        <v>0</v>
      </c>
      <c r="L2736">
        <v>4</v>
      </c>
      <c r="M2736">
        <v>4</v>
      </c>
      <c r="N2736">
        <v>0</v>
      </c>
      <c r="O2736">
        <v>2</v>
      </c>
      <c r="P2736">
        <v>42.4</v>
      </c>
      <c r="Q2736">
        <v>0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0</v>
      </c>
      <c r="Z2736">
        <v>0</v>
      </c>
      <c r="AA2736">
        <v>0</v>
      </c>
      <c r="AC2736">
        <v>42.4</v>
      </c>
    </row>
    <row r="2737" spans="1:29">
      <c r="A2737">
        <v>2730</v>
      </c>
      <c r="B2737">
        <v>4592</v>
      </c>
      <c r="C2737" t="s">
        <v>5788</v>
      </c>
      <c r="D2737" t="s">
        <v>3981</v>
      </c>
      <c r="E2737" t="s">
        <v>889</v>
      </c>
      <c r="F2737" t="s">
        <v>5789</v>
      </c>
      <c r="G2737" t="str">
        <f>"00777090"</f>
        <v>00777090</v>
      </c>
      <c r="H2737">
        <v>36.4</v>
      </c>
      <c r="I2737">
        <v>0</v>
      </c>
      <c r="L2737">
        <v>4</v>
      </c>
      <c r="M2737">
        <v>4</v>
      </c>
      <c r="N2737">
        <v>0</v>
      </c>
      <c r="O2737">
        <v>2</v>
      </c>
      <c r="P2737">
        <v>42.4</v>
      </c>
      <c r="Q2737">
        <v>0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0</v>
      </c>
      <c r="Y2737">
        <v>0</v>
      </c>
      <c r="Z2737">
        <v>0</v>
      </c>
      <c r="AA2737">
        <v>0</v>
      </c>
      <c r="AC2737">
        <v>42.4</v>
      </c>
    </row>
    <row r="2738" spans="1:29">
      <c r="A2738">
        <v>2731</v>
      </c>
      <c r="B2738">
        <v>3670</v>
      </c>
      <c r="C2738" t="s">
        <v>5791</v>
      </c>
      <c r="D2738" t="s">
        <v>5792</v>
      </c>
      <c r="E2738" t="s">
        <v>32</v>
      </c>
      <c r="F2738" t="s">
        <v>5793</v>
      </c>
      <c r="G2738" t="str">
        <f>"00862247"</f>
        <v>00862247</v>
      </c>
      <c r="H2738">
        <v>34.4</v>
      </c>
      <c r="I2738">
        <v>0</v>
      </c>
      <c r="L2738">
        <v>4</v>
      </c>
      <c r="M2738">
        <v>4</v>
      </c>
      <c r="N2738">
        <v>4</v>
      </c>
      <c r="O2738">
        <v>0</v>
      </c>
      <c r="P2738">
        <v>42.4</v>
      </c>
      <c r="Q2738">
        <v>0</v>
      </c>
      <c r="R2738">
        <v>0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  <c r="Y2738">
        <v>0</v>
      </c>
      <c r="Z2738">
        <v>0</v>
      </c>
      <c r="AA2738">
        <v>0</v>
      </c>
      <c r="AC2738">
        <v>42.4</v>
      </c>
    </row>
    <row r="2739" spans="1:29">
      <c r="A2739">
        <v>2732</v>
      </c>
      <c r="B2739">
        <v>3673</v>
      </c>
      <c r="C2739" t="s">
        <v>5272</v>
      </c>
      <c r="D2739" t="s">
        <v>17</v>
      </c>
      <c r="E2739" t="s">
        <v>79</v>
      </c>
      <c r="F2739" t="s">
        <v>5794</v>
      </c>
      <c r="G2739" t="str">
        <f>"00863924"</f>
        <v>00863924</v>
      </c>
      <c r="H2739">
        <v>28.4</v>
      </c>
      <c r="I2739">
        <v>0</v>
      </c>
      <c r="J2739">
        <v>8</v>
      </c>
      <c r="M2739">
        <v>8</v>
      </c>
      <c r="N2739">
        <v>4</v>
      </c>
      <c r="O2739">
        <v>2</v>
      </c>
      <c r="P2739">
        <v>42.4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0</v>
      </c>
      <c r="Z2739">
        <v>0</v>
      </c>
      <c r="AA2739">
        <v>0</v>
      </c>
      <c r="AC2739">
        <v>42.4</v>
      </c>
    </row>
    <row r="2740" spans="1:29">
      <c r="A2740">
        <v>2733</v>
      </c>
      <c r="B2740">
        <v>4777</v>
      </c>
      <c r="C2740" t="s">
        <v>5795</v>
      </c>
      <c r="D2740" t="s">
        <v>5228</v>
      </c>
      <c r="E2740" t="s">
        <v>28</v>
      </c>
      <c r="F2740" t="s">
        <v>5796</v>
      </c>
      <c r="G2740" t="str">
        <f>"00560384"</f>
        <v>00560384</v>
      </c>
      <c r="H2740">
        <v>20.28</v>
      </c>
      <c r="I2740">
        <v>10</v>
      </c>
      <c r="L2740">
        <v>4</v>
      </c>
      <c r="M2740">
        <v>4</v>
      </c>
      <c r="N2740">
        <v>0</v>
      </c>
      <c r="O2740">
        <v>2</v>
      </c>
      <c r="P2740">
        <v>36.28</v>
      </c>
      <c r="Q2740">
        <v>0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0</v>
      </c>
      <c r="Z2740">
        <v>6</v>
      </c>
      <c r="AA2740">
        <v>0</v>
      </c>
      <c r="AC2740">
        <v>42.28</v>
      </c>
    </row>
    <row r="2741" spans="1:29">
      <c r="A2741">
        <v>2734</v>
      </c>
      <c r="B2741">
        <v>3118</v>
      </c>
      <c r="C2741" t="s">
        <v>3888</v>
      </c>
      <c r="D2741" t="s">
        <v>5797</v>
      </c>
      <c r="E2741" t="s">
        <v>77</v>
      </c>
      <c r="F2741" t="s">
        <v>5798</v>
      </c>
      <c r="G2741" t="str">
        <f>"00530257"</f>
        <v>00530257</v>
      </c>
      <c r="H2741">
        <v>7.2</v>
      </c>
      <c r="I2741">
        <v>10</v>
      </c>
      <c r="M2741">
        <v>0</v>
      </c>
      <c r="N2741">
        <v>4</v>
      </c>
      <c r="O2741">
        <v>2</v>
      </c>
      <c r="P2741">
        <v>23.2</v>
      </c>
      <c r="Q2741">
        <v>10</v>
      </c>
      <c r="R2741">
        <v>10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10</v>
      </c>
      <c r="Z2741">
        <v>9</v>
      </c>
      <c r="AA2741">
        <v>0</v>
      </c>
      <c r="AC2741">
        <v>42.2</v>
      </c>
    </row>
    <row r="2742" spans="1:29">
      <c r="A2742">
        <v>2735</v>
      </c>
      <c r="B2742">
        <v>4629</v>
      </c>
      <c r="C2742" t="s">
        <v>2781</v>
      </c>
      <c r="D2742" t="s">
        <v>108</v>
      </c>
      <c r="E2742" t="s">
        <v>18</v>
      </c>
      <c r="F2742" t="s">
        <v>5799</v>
      </c>
      <c r="G2742" t="str">
        <f>"00529829"</f>
        <v>00529829</v>
      </c>
      <c r="H2742">
        <v>7.2</v>
      </c>
      <c r="I2742">
        <v>0</v>
      </c>
      <c r="J2742">
        <v>8</v>
      </c>
      <c r="M2742">
        <v>8</v>
      </c>
      <c r="N2742">
        <v>4</v>
      </c>
      <c r="O2742">
        <v>2</v>
      </c>
      <c r="P2742">
        <v>21.2</v>
      </c>
      <c r="Q2742">
        <v>15</v>
      </c>
      <c r="R2742">
        <v>15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15</v>
      </c>
      <c r="Z2742">
        <v>6</v>
      </c>
      <c r="AA2742">
        <v>0</v>
      </c>
      <c r="AC2742">
        <v>42.2</v>
      </c>
    </row>
    <row r="2743" spans="1:29">
      <c r="A2743">
        <v>2736</v>
      </c>
      <c r="B2743">
        <v>115</v>
      </c>
      <c r="C2743" t="s">
        <v>5800</v>
      </c>
      <c r="D2743" t="s">
        <v>185</v>
      </c>
      <c r="E2743" t="s">
        <v>967</v>
      </c>
      <c r="F2743" t="s">
        <v>5801</v>
      </c>
      <c r="G2743" t="str">
        <f>"00857228"</f>
        <v>00857228</v>
      </c>
      <c r="H2743">
        <v>39.200000000000003</v>
      </c>
      <c r="I2743">
        <v>0</v>
      </c>
      <c r="M2743">
        <v>0</v>
      </c>
      <c r="N2743">
        <v>0</v>
      </c>
      <c r="O2743">
        <v>0</v>
      </c>
      <c r="P2743">
        <v>39.200000000000003</v>
      </c>
      <c r="Q2743">
        <v>0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0</v>
      </c>
      <c r="Z2743">
        <v>3</v>
      </c>
      <c r="AA2743">
        <v>0</v>
      </c>
      <c r="AC2743">
        <v>42.2</v>
      </c>
    </row>
    <row r="2744" spans="1:29">
      <c r="A2744">
        <v>2737</v>
      </c>
      <c r="B2744">
        <v>921</v>
      </c>
      <c r="C2744" t="s">
        <v>5802</v>
      </c>
      <c r="D2744" t="s">
        <v>159</v>
      </c>
      <c r="E2744" t="s">
        <v>15</v>
      </c>
      <c r="F2744" t="s">
        <v>5803</v>
      </c>
      <c r="G2744" t="str">
        <f>"00218519"</f>
        <v>00218519</v>
      </c>
      <c r="H2744">
        <v>39.200000000000003</v>
      </c>
      <c r="I2744">
        <v>0</v>
      </c>
      <c r="M2744">
        <v>0</v>
      </c>
      <c r="N2744">
        <v>0</v>
      </c>
      <c r="O2744">
        <v>0</v>
      </c>
      <c r="P2744">
        <v>39.200000000000003</v>
      </c>
      <c r="Q2744">
        <v>0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0</v>
      </c>
      <c r="Z2744">
        <v>3</v>
      </c>
      <c r="AA2744">
        <v>0</v>
      </c>
      <c r="AC2744">
        <v>42.2</v>
      </c>
    </row>
    <row r="2745" spans="1:29">
      <c r="A2745">
        <v>2738</v>
      </c>
      <c r="B2745">
        <v>2464</v>
      </c>
      <c r="C2745" t="s">
        <v>1168</v>
      </c>
      <c r="D2745" t="s">
        <v>2000</v>
      </c>
      <c r="E2745" t="s">
        <v>304</v>
      </c>
      <c r="F2745" t="s">
        <v>5804</v>
      </c>
      <c r="G2745" t="str">
        <f>"00861681"</f>
        <v>00861681</v>
      </c>
      <c r="H2745">
        <v>35.200000000000003</v>
      </c>
      <c r="I2745">
        <v>0</v>
      </c>
      <c r="M2745">
        <v>0</v>
      </c>
      <c r="N2745">
        <v>4</v>
      </c>
      <c r="O2745">
        <v>0</v>
      </c>
      <c r="P2745">
        <v>39.200000000000003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0</v>
      </c>
      <c r="Z2745">
        <v>3</v>
      </c>
      <c r="AA2745">
        <v>0</v>
      </c>
      <c r="AC2745">
        <v>42.2</v>
      </c>
    </row>
    <row r="2746" spans="1:29">
      <c r="A2746">
        <v>2739</v>
      </c>
      <c r="B2746">
        <v>4522</v>
      </c>
      <c r="C2746" t="s">
        <v>3853</v>
      </c>
      <c r="D2746" t="s">
        <v>130</v>
      </c>
      <c r="E2746" t="s">
        <v>18</v>
      </c>
      <c r="F2746" t="s">
        <v>5805</v>
      </c>
      <c r="G2746" t="str">
        <f>"00307117"</f>
        <v>00307117</v>
      </c>
      <c r="H2746">
        <v>7.2</v>
      </c>
      <c r="I2746">
        <v>10</v>
      </c>
      <c r="M2746">
        <v>0</v>
      </c>
      <c r="N2746">
        <v>4</v>
      </c>
      <c r="O2746">
        <v>0</v>
      </c>
      <c r="P2746">
        <v>21.2</v>
      </c>
      <c r="Q2746">
        <v>18</v>
      </c>
      <c r="R2746">
        <v>18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18</v>
      </c>
      <c r="Z2746">
        <v>3</v>
      </c>
      <c r="AA2746">
        <v>0</v>
      </c>
      <c r="AC2746">
        <v>42.2</v>
      </c>
    </row>
    <row r="2747" spans="1:29">
      <c r="A2747">
        <v>2740</v>
      </c>
      <c r="B2747">
        <v>507</v>
      </c>
      <c r="C2747" t="s">
        <v>770</v>
      </c>
      <c r="D2747" t="s">
        <v>5806</v>
      </c>
      <c r="E2747" t="s">
        <v>156</v>
      </c>
      <c r="F2747" t="s">
        <v>5807</v>
      </c>
      <c r="G2747" t="str">
        <f>"00530465"</f>
        <v>00530465</v>
      </c>
      <c r="H2747">
        <v>29.2</v>
      </c>
      <c r="I2747">
        <v>0</v>
      </c>
      <c r="K2747">
        <v>6</v>
      </c>
      <c r="M2747">
        <v>6</v>
      </c>
      <c r="N2747">
        <v>0</v>
      </c>
      <c r="O2747">
        <v>0</v>
      </c>
      <c r="P2747">
        <v>35.200000000000003</v>
      </c>
      <c r="Q2747">
        <v>7</v>
      </c>
      <c r="R2747">
        <v>7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7</v>
      </c>
      <c r="Z2747">
        <v>0</v>
      </c>
      <c r="AA2747">
        <v>0</v>
      </c>
      <c r="AC2747">
        <v>42.2</v>
      </c>
    </row>
    <row r="2748" spans="1:29">
      <c r="A2748">
        <v>2741</v>
      </c>
      <c r="B2748">
        <v>4369</v>
      </c>
      <c r="C2748" t="s">
        <v>5808</v>
      </c>
      <c r="D2748" t="s">
        <v>27</v>
      </c>
      <c r="E2748" t="s">
        <v>28</v>
      </c>
      <c r="F2748" t="s">
        <v>5809</v>
      </c>
      <c r="G2748" t="str">
        <f>"00864677"</f>
        <v>00864677</v>
      </c>
      <c r="H2748">
        <v>22.16</v>
      </c>
      <c r="I2748">
        <v>10</v>
      </c>
      <c r="M2748">
        <v>0</v>
      </c>
      <c r="N2748">
        <v>4</v>
      </c>
      <c r="O2748">
        <v>0</v>
      </c>
      <c r="P2748">
        <v>36.159999999999997</v>
      </c>
      <c r="Q2748">
        <v>0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0</v>
      </c>
      <c r="Z2748">
        <v>6</v>
      </c>
      <c r="AA2748">
        <v>0</v>
      </c>
      <c r="AC2748">
        <v>42.16</v>
      </c>
    </row>
    <row r="2749" spans="1:29">
      <c r="A2749">
        <v>2742</v>
      </c>
      <c r="B2749">
        <v>558</v>
      </c>
      <c r="C2749" t="s">
        <v>5810</v>
      </c>
      <c r="D2749" t="s">
        <v>27</v>
      </c>
      <c r="E2749" t="s">
        <v>79</v>
      </c>
      <c r="F2749" t="s">
        <v>5811</v>
      </c>
      <c r="G2749" t="str">
        <f>"00518853"</f>
        <v>00518853</v>
      </c>
      <c r="H2749">
        <v>27.08</v>
      </c>
      <c r="I2749">
        <v>0</v>
      </c>
      <c r="M2749">
        <v>0</v>
      </c>
      <c r="N2749">
        <v>4</v>
      </c>
      <c r="O2749">
        <v>0</v>
      </c>
      <c r="P2749">
        <v>31.08</v>
      </c>
      <c r="Q2749">
        <v>8</v>
      </c>
      <c r="R2749">
        <v>8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8</v>
      </c>
      <c r="Z2749">
        <v>3</v>
      </c>
      <c r="AA2749">
        <v>0</v>
      </c>
      <c r="AC2749">
        <v>42.08</v>
      </c>
    </row>
    <row r="2750" spans="1:29">
      <c r="A2750">
        <v>2743</v>
      </c>
      <c r="B2750">
        <v>1427</v>
      </c>
      <c r="C2750" t="s">
        <v>5819</v>
      </c>
      <c r="D2750" t="s">
        <v>1208</v>
      </c>
      <c r="E2750" t="s">
        <v>15</v>
      </c>
      <c r="F2750" t="s">
        <v>5820</v>
      </c>
      <c r="G2750" t="str">
        <f>"00858662"</f>
        <v>00858662</v>
      </c>
      <c r="H2750">
        <v>36</v>
      </c>
      <c r="I2750">
        <v>0</v>
      </c>
      <c r="M2750">
        <v>0</v>
      </c>
      <c r="N2750">
        <v>0</v>
      </c>
      <c r="O2750">
        <v>0</v>
      </c>
      <c r="P2750">
        <v>36</v>
      </c>
      <c r="Q2750">
        <v>0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0</v>
      </c>
      <c r="Z2750">
        <v>6</v>
      </c>
      <c r="AA2750">
        <v>0</v>
      </c>
      <c r="AC2750">
        <v>42</v>
      </c>
    </row>
    <row r="2751" spans="1:29">
      <c r="A2751">
        <v>2744</v>
      </c>
      <c r="B2751">
        <v>3578</v>
      </c>
      <c r="C2751" t="s">
        <v>3817</v>
      </c>
      <c r="D2751" t="s">
        <v>86</v>
      </c>
      <c r="E2751" t="s">
        <v>15</v>
      </c>
      <c r="F2751" t="s">
        <v>5821</v>
      </c>
      <c r="G2751" t="str">
        <f>"00805373"</f>
        <v>00805373</v>
      </c>
      <c r="H2751">
        <v>36</v>
      </c>
      <c r="I2751">
        <v>0</v>
      </c>
      <c r="M2751">
        <v>0</v>
      </c>
      <c r="N2751">
        <v>0</v>
      </c>
      <c r="O2751">
        <v>0</v>
      </c>
      <c r="P2751">
        <v>36</v>
      </c>
      <c r="Q2751">
        <v>0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0</v>
      </c>
      <c r="Z2751">
        <v>6</v>
      </c>
      <c r="AA2751">
        <v>0</v>
      </c>
      <c r="AC2751">
        <v>42</v>
      </c>
    </row>
    <row r="2752" spans="1:29">
      <c r="A2752">
        <v>2745</v>
      </c>
      <c r="B2752">
        <v>217</v>
      </c>
      <c r="C2752" t="s">
        <v>5812</v>
      </c>
      <c r="D2752" t="s">
        <v>5813</v>
      </c>
      <c r="E2752" t="s">
        <v>15</v>
      </c>
      <c r="F2752" t="s">
        <v>5814</v>
      </c>
      <c r="G2752" t="str">
        <f>"00853999"</f>
        <v>00853999</v>
      </c>
      <c r="H2752">
        <v>36</v>
      </c>
      <c r="I2752">
        <v>0</v>
      </c>
      <c r="M2752">
        <v>0</v>
      </c>
      <c r="N2752">
        <v>0</v>
      </c>
      <c r="O2752">
        <v>0</v>
      </c>
      <c r="P2752">
        <v>36</v>
      </c>
      <c r="Q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v>6</v>
      </c>
      <c r="AA2752">
        <v>0</v>
      </c>
      <c r="AC2752">
        <v>42</v>
      </c>
    </row>
    <row r="2753" spans="1:29">
      <c r="A2753">
        <v>2746</v>
      </c>
      <c r="B2753">
        <v>2694</v>
      </c>
      <c r="C2753" t="s">
        <v>5817</v>
      </c>
      <c r="D2753" t="s">
        <v>147</v>
      </c>
      <c r="E2753" t="s">
        <v>15</v>
      </c>
      <c r="F2753" t="s">
        <v>5818</v>
      </c>
      <c r="G2753" t="str">
        <f>"00679783"</f>
        <v>00679783</v>
      </c>
      <c r="H2753">
        <v>36</v>
      </c>
      <c r="I2753">
        <v>0</v>
      </c>
      <c r="M2753">
        <v>0</v>
      </c>
      <c r="N2753">
        <v>0</v>
      </c>
      <c r="O2753">
        <v>0</v>
      </c>
      <c r="P2753">
        <v>36</v>
      </c>
      <c r="Q2753">
        <v>0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0</v>
      </c>
      <c r="Z2753">
        <v>6</v>
      </c>
      <c r="AA2753">
        <v>0</v>
      </c>
      <c r="AC2753">
        <v>42</v>
      </c>
    </row>
    <row r="2754" spans="1:29">
      <c r="A2754">
        <v>2747</v>
      </c>
      <c r="B2754">
        <v>4664</v>
      </c>
      <c r="C2754" t="s">
        <v>5815</v>
      </c>
      <c r="D2754" t="s">
        <v>4052</v>
      </c>
      <c r="E2754" t="s">
        <v>156</v>
      </c>
      <c r="F2754" t="s">
        <v>5816</v>
      </c>
      <c r="G2754" t="str">
        <f>"201011000036"</f>
        <v>201011000036</v>
      </c>
      <c r="H2754">
        <v>36</v>
      </c>
      <c r="I2754">
        <v>0</v>
      </c>
      <c r="M2754">
        <v>0</v>
      </c>
      <c r="N2754">
        <v>0</v>
      </c>
      <c r="O2754">
        <v>0</v>
      </c>
      <c r="P2754">
        <v>36</v>
      </c>
      <c r="Q2754">
        <v>0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0</v>
      </c>
      <c r="Y2754">
        <v>0</v>
      </c>
      <c r="Z2754">
        <v>6</v>
      </c>
      <c r="AA2754">
        <v>0</v>
      </c>
      <c r="AC2754">
        <v>42</v>
      </c>
    </row>
    <row r="2755" spans="1:29">
      <c r="A2755">
        <v>2748</v>
      </c>
      <c r="B2755">
        <v>4245</v>
      </c>
      <c r="C2755" t="s">
        <v>5822</v>
      </c>
      <c r="D2755" t="s">
        <v>20</v>
      </c>
      <c r="E2755" t="s">
        <v>122</v>
      </c>
      <c r="F2755" t="s">
        <v>5823</v>
      </c>
      <c r="G2755" t="str">
        <f>"00863896"</f>
        <v>00863896</v>
      </c>
      <c r="H2755">
        <v>34</v>
      </c>
      <c r="I2755">
        <v>0</v>
      </c>
      <c r="M2755">
        <v>0</v>
      </c>
      <c r="N2755">
        <v>0</v>
      </c>
      <c r="O2755">
        <v>2</v>
      </c>
      <c r="P2755">
        <v>36</v>
      </c>
      <c r="Q2755">
        <v>0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0</v>
      </c>
      <c r="Z2755">
        <v>6</v>
      </c>
      <c r="AA2755">
        <v>0</v>
      </c>
      <c r="AC2755">
        <v>42</v>
      </c>
    </row>
    <row r="2756" spans="1:29">
      <c r="A2756">
        <v>2749</v>
      </c>
      <c r="B2756">
        <v>2408</v>
      </c>
      <c r="C2756" t="s">
        <v>1823</v>
      </c>
      <c r="D2756" t="s">
        <v>2014</v>
      </c>
      <c r="E2756" t="s">
        <v>28</v>
      </c>
      <c r="F2756" t="s">
        <v>5824</v>
      </c>
      <c r="G2756" t="str">
        <f>"00532055"</f>
        <v>00532055</v>
      </c>
      <c r="H2756">
        <v>38</v>
      </c>
      <c r="I2756">
        <v>0</v>
      </c>
      <c r="M2756">
        <v>0</v>
      </c>
      <c r="N2756">
        <v>4</v>
      </c>
      <c r="O2756">
        <v>0</v>
      </c>
      <c r="P2756">
        <v>42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v>0</v>
      </c>
      <c r="AA2756">
        <v>0</v>
      </c>
      <c r="AC2756">
        <v>42</v>
      </c>
    </row>
    <row r="2757" spans="1:29">
      <c r="A2757">
        <v>2750</v>
      </c>
      <c r="B2757">
        <v>4323</v>
      </c>
      <c r="C2757" t="s">
        <v>5825</v>
      </c>
      <c r="D2757" t="s">
        <v>554</v>
      </c>
      <c r="E2757" t="s">
        <v>79</v>
      </c>
      <c r="F2757" t="s">
        <v>5826</v>
      </c>
      <c r="G2757" t="str">
        <f>"00862185"</f>
        <v>00862185</v>
      </c>
      <c r="H2757">
        <v>38</v>
      </c>
      <c r="I2757">
        <v>0</v>
      </c>
      <c r="M2757">
        <v>0</v>
      </c>
      <c r="N2757">
        <v>4</v>
      </c>
      <c r="O2757">
        <v>0</v>
      </c>
      <c r="P2757">
        <v>42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  <c r="Y2757">
        <v>0</v>
      </c>
      <c r="Z2757">
        <v>0</v>
      </c>
      <c r="AA2757">
        <v>0</v>
      </c>
      <c r="AC2757">
        <v>42</v>
      </c>
    </row>
    <row r="2758" spans="1:29">
      <c r="A2758">
        <v>2751</v>
      </c>
      <c r="B2758">
        <v>3580</v>
      </c>
      <c r="C2758" t="s">
        <v>5833</v>
      </c>
      <c r="D2758" t="s">
        <v>400</v>
      </c>
      <c r="E2758" t="s">
        <v>237</v>
      </c>
      <c r="F2758" t="s">
        <v>5834</v>
      </c>
      <c r="G2758" t="str">
        <f>"00858068"</f>
        <v>00858068</v>
      </c>
      <c r="H2758">
        <v>36</v>
      </c>
      <c r="I2758">
        <v>0</v>
      </c>
      <c r="L2758">
        <v>4</v>
      </c>
      <c r="M2758">
        <v>4</v>
      </c>
      <c r="N2758">
        <v>0</v>
      </c>
      <c r="O2758">
        <v>2</v>
      </c>
      <c r="P2758">
        <v>42</v>
      </c>
      <c r="Q2758">
        <v>0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  <c r="Y2758">
        <v>0</v>
      </c>
      <c r="Z2758">
        <v>0</v>
      </c>
      <c r="AA2758">
        <v>0</v>
      </c>
      <c r="AC2758">
        <v>42</v>
      </c>
    </row>
    <row r="2759" spans="1:29">
      <c r="A2759">
        <v>2752</v>
      </c>
      <c r="B2759">
        <v>1743</v>
      </c>
      <c r="C2759" t="s">
        <v>5831</v>
      </c>
      <c r="D2759" t="s">
        <v>52</v>
      </c>
      <c r="E2759" t="s">
        <v>379</v>
      </c>
      <c r="F2759" t="s">
        <v>5832</v>
      </c>
      <c r="G2759" t="str">
        <f>"00802821"</f>
        <v>00802821</v>
      </c>
      <c r="H2759">
        <v>36</v>
      </c>
      <c r="I2759">
        <v>0</v>
      </c>
      <c r="M2759">
        <v>0</v>
      </c>
      <c r="N2759">
        <v>4</v>
      </c>
      <c r="O2759">
        <v>2</v>
      </c>
      <c r="P2759">
        <v>42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0</v>
      </c>
      <c r="Z2759">
        <v>0</v>
      </c>
      <c r="AA2759">
        <v>0</v>
      </c>
      <c r="AC2759">
        <v>42</v>
      </c>
    </row>
    <row r="2760" spans="1:29">
      <c r="A2760">
        <v>2753</v>
      </c>
      <c r="B2760">
        <v>4034</v>
      </c>
      <c r="C2760" t="s">
        <v>5837</v>
      </c>
      <c r="D2760" t="s">
        <v>1977</v>
      </c>
      <c r="E2760" t="s">
        <v>89</v>
      </c>
      <c r="F2760" t="s">
        <v>5838</v>
      </c>
      <c r="G2760" t="str">
        <f>"00854909"</f>
        <v>00854909</v>
      </c>
      <c r="H2760">
        <v>36</v>
      </c>
      <c r="I2760">
        <v>0</v>
      </c>
      <c r="M2760">
        <v>0</v>
      </c>
      <c r="N2760">
        <v>4</v>
      </c>
      <c r="O2760">
        <v>2</v>
      </c>
      <c r="P2760">
        <v>42</v>
      </c>
      <c r="Q2760">
        <v>0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  <c r="Y2760">
        <v>0</v>
      </c>
      <c r="Z2760">
        <v>0</v>
      </c>
      <c r="AA2760">
        <v>0</v>
      </c>
      <c r="AC2760">
        <v>42</v>
      </c>
    </row>
    <row r="2761" spans="1:29">
      <c r="A2761">
        <v>2754</v>
      </c>
      <c r="B2761">
        <v>937</v>
      </c>
      <c r="C2761" t="s">
        <v>5829</v>
      </c>
      <c r="D2761" t="s">
        <v>170</v>
      </c>
      <c r="E2761" t="s">
        <v>3007</v>
      </c>
      <c r="F2761" t="s">
        <v>5830</v>
      </c>
      <c r="G2761" t="str">
        <f>"00779939"</f>
        <v>00779939</v>
      </c>
      <c r="H2761">
        <v>36</v>
      </c>
      <c r="I2761">
        <v>0</v>
      </c>
      <c r="M2761">
        <v>0</v>
      </c>
      <c r="N2761">
        <v>4</v>
      </c>
      <c r="O2761">
        <v>2</v>
      </c>
      <c r="P2761">
        <v>42</v>
      </c>
      <c r="Q2761">
        <v>0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0</v>
      </c>
      <c r="Y2761">
        <v>0</v>
      </c>
      <c r="Z2761">
        <v>0</v>
      </c>
      <c r="AA2761">
        <v>0</v>
      </c>
      <c r="AC2761">
        <v>42</v>
      </c>
    </row>
    <row r="2762" spans="1:29">
      <c r="A2762">
        <v>2755</v>
      </c>
      <c r="B2762">
        <v>1445</v>
      </c>
      <c r="C2762" t="s">
        <v>5827</v>
      </c>
      <c r="D2762" t="s">
        <v>248</v>
      </c>
      <c r="E2762" t="s">
        <v>36</v>
      </c>
      <c r="F2762" t="s">
        <v>5828</v>
      </c>
      <c r="G2762" t="str">
        <f>"00531982"</f>
        <v>00531982</v>
      </c>
      <c r="H2762">
        <v>36</v>
      </c>
      <c r="I2762">
        <v>0</v>
      </c>
      <c r="M2762">
        <v>0</v>
      </c>
      <c r="N2762">
        <v>4</v>
      </c>
      <c r="O2762">
        <v>2</v>
      </c>
      <c r="P2762">
        <v>42</v>
      </c>
      <c r="Q2762">
        <v>0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0</v>
      </c>
      <c r="Z2762">
        <v>0</v>
      </c>
      <c r="AA2762">
        <v>0</v>
      </c>
      <c r="AC2762">
        <v>42</v>
      </c>
    </row>
    <row r="2763" spans="1:29">
      <c r="A2763">
        <v>2756</v>
      </c>
      <c r="B2763">
        <v>2342</v>
      </c>
      <c r="C2763" t="s">
        <v>559</v>
      </c>
      <c r="D2763" t="s">
        <v>1465</v>
      </c>
      <c r="E2763" t="s">
        <v>5835</v>
      </c>
      <c r="F2763" t="s">
        <v>5836</v>
      </c>
      <c r="G2763" t="str">
        <f>"00860611"</f>
        <v>00860611</v>
      </c>
      <c r="H2763">
        <v>36</v>
      </c>
      <c r="I2763">
        <v>0</v>
      </c>
      <c r="M2763">
        <v>0</v>
      </c>
      <c r="N2763">
        <v>4</v>
      </c>
      <c r="O2763">
        <v>2</v>
      </c>
      <c r="P2763">
        <v>42</v>
      </c>
      <c r="Q2763">
        <v>0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0</v>
      </c>
      <c r="Z2763">
        <v>0</v>
      </c>
      <c r="AA2763">
        <v>0</v>
      </c>
      <c r="AC2763">
        <v>42</v>
      </c>
    </row>
    <row r="2764" spans="1:29">
      <c r="A2764">
        <v>2757</v>
      </c>
      <c r="B2764">
        <v>416</v>
      </c>
      <c r="C2764" t="s">
        <v>5839</v>
      </c>
      <c r="D2764" t="s">
        <v>164</v>
      </c>
      <c r="E2764" t="s">
        <v>889</v>
      </c>
      <c r="F2764" t="s">
        <v>5840</v>
      </c>
      <c r="G2764" t="str">
        <f>"00857665"</f>
        <v>00857665</v>
      </c>
      <c r="H2764">
        <v>28</v>
      </c>
      <c r="I2764">
        <v>0</v>
      </c>
      <c r="J2764">
        <v>8</v>
      </c>
      <c r="M2764">
        <v>8</v>
      </c>
      <c r="N2764">
        <v>4</v>
      </c>
      <c r="O2764">
        <v>2</v>
      </c>
      <c r="P2764">
        <v>42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0</v>
      </c>
      <c r="Z2764">
        <v>0</v>
      </c>
      <c r="AA2764">
        <v>0</v>
      </c>
      <c r="AC2764">
        <v>42</v>
      </c>
    </row>
    <row r="2765" spans="1:29">
      <c r="A2765">
        <v>2758</v>
      </c>
      <c r="B2765">
        <v>1624</v>
      </c>
      <c r="C2765" t="s">
        <v>4318</v>
      </c>
      <c r="D2765" t="s">
        <v>5841</v>
      </c>
      <c r="E2765" t="s">
        <v>53</v>
      </c>
      <c r="F2765" t="s">
        <v>5842</v>
      </c>
      <c r="G2765" t="str">
        <f>"00524241"</f>
        <v>00524241</v>
      </c>
      <c r="H2765">
        <v>0</v>
      </c>
      <c r="I2765">
        <v>0</v>
      </c>
      <c r="M2765">
        <v>0</v>
      </c>
      <c r="N2765">
        <v>4</v>
      </c>
      <c r="O2765">
        <v>2</v>
      </c>
      <c r="P2765">
        <v>6</v>
      </c>
      <c r="Q2765">
        <v>36</v>
      </c>
      <c r="R2765">
        <v>36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36</v>
      </c>
      <c r="Z2765">
        <v>0</v>
      </c>
      <c r="AA2765">
        <v>0</v>
      </c>
      <c r="AC2765">
        <v>42</v>
      </c>
    </row>
    <row r="2766" spans="1:29">
      <c r="A2766">
        <v>2759</v>
      </c>
      <c r="B2766">
        <v>4675</v>
      </c>
      <c r="C2766" t="s">
        <v>5843</v>
      </c>
      <c r="D2766" t="s">
        <v>159</v>
      </c>
      <c r="E2766" t="s">
        <v>5844</v>
      </c>
      <c r="F2766" t="s">
        <v>5845</v>
      </c>
      <c r="G2766" t="str">
        <f>"00529007"</f>
        <v>00529007</v>
      </c>
      <c r="H2766">
        <v>32.880000000000003</v>
      </c>
      <c r="I2766">
        <v>0</v>
      </c>
      <c r="M2766">
        <v>0</v>
      </c>
      <c r="N2766">
        <v>0</v>
      </c>
      <c r="O2766">
        <v>0</v>
      </c>
      <c r="P2766">
        <v>32.880000000000003</v>
      </c>
      <c r="Q2766">
        <v>0</v>
      </c>
      <c r="R2766">
        <v>0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  <c r="Y2766">
        <v>0</v>
      </c>
      <c r="Z2766">
        <v>9</v>
      </c>
      <c r="AA2766">
        <v>0</v>
      </c>
      <c r="AC2766">
        <v>41.88</v>
      </c>
    </row>
    <row r="2767" spans="1:29">
      <c r="A2767">
        <v>2760</v>
      </c>
      <c r="B2767">
        <v>815</v>
      </c>
      <c r="C2767" t="s">
        <v>2043</v>
      </c>
      <c r="D2767" t="s">
        <v>167</v>
      </c>
      <c r="E2767" t="s">
        <v>79</v>
      </c>
      <c r="F2767" t="s">
        <v>5846</v>
      </c>
      <c r="G2767" t="str">
        <f>"00531695"</f>
        <v>00531695</v>
      </c>
      <c r="H2767">
        <v>36.880000000000003</v>
      </c>
      <c r="I2767">
        <v>0</v>
      </c>
      <c r="M2767">
        <v>0</v>
      </c>
      <c r="N2767">
        <v>0</v>
      </c>
      <c r="O2767">
        <v>2</v>
      </c>
      <c r="P2767">
        <v>38.880000000000003</v>
      </c>
      <c r="Q2767">
        <v>0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0</v>
      </c>
      <c r="Z2767">
        <v>3</v>
      </c>
      <c r="AA2767">
        <v>0</v>
      </c>
      <c r="AC2767">
        <v>41.88</v>
      </c>
    </row>
    <row r="2768" spans="1:29">
      <c r="A2768">
        <v>2761</v>
      </c>
      <c r="B2768">
        <v>4562</v>
      </c>
      <c r="C2768" t="s">
        <v>1248</v>
      </c>
      <c r="D2768" t="s">
        <v>205</v>
      </c>
      <c r="E2768" t="s">
        <v>115</v>
      </c>
      <c r="F2768" t="s">
        <v>5847</v>
      </c>
      <c r="G2768" t="str">
        <f>"00856054"</f>
        <v>00856054</v>
      </c>
      <c r="H2768">
        <v>0</v>
      </c>
      <c r="I2768">
        <v>0</v>
      </c>
      <c r="L2768">
        <v>8</v>
      </c>
      <c r="M2768">
        <v>8</v>
      </c>
      <c r="N2768">
        <v>4</v>
      </c>
      <c r="O2768">
        <v>0</v>
      </c>
      <c r="P2768">
        <v>12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v>3</v>
      </c>
      <c r="AA2768">
        <v>26.8</v>
      </c>
      <c r="AC2768">
        <v>41.8</v>
      </c>
    </row>
    <row r="2769" spans="1:29">
      <c r="A2769">
        <v>2762</v>
      </c>
      <c r="B2769">
        <v>3627</v>
      </c>
      <c r="C2769" t="s">
        <v>5848</v>
      </c>
      <c r="D2769" t="s">
        <v>130</v>
      </c>
      <c r="E2769" t="s">
        <v>134</v>
      </c>
      <c r="F2769" t="s">
        <v>5849</v>
      </c>
      <c r="G2769" t="str">
        <f>"00856505"</f>
        <v>00856505</v>
      </c>
      <c r="H2769">
        <v>28.8</v>
      </c>
      <c r="I2769">
        <v>0</v>
      </c>
      <c r="M2769">
        <v>0</v>
      </c>
      <c r="N2769">
        <v>4</v>
      </c>
      <c r="O2769">
        <v>0</v>
      </c>
      <c r="P2769">
        <v>32.799999999999997</v>
      </c>
      <c r="Q2769">
        <v>0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0</v>
      </c>
      <c r="Z2769">
        <v>9</v>
      </c>
      <c r="AA2769">
        <v>0</v>
      </c>
      <c r="AC2769">
        <v>41.8</v>
      </c>
    </row>
    <row r="2770" spans="1:29">
      <c r="A2770">
        <v>2763</v>
      </c>
      <c r="B2770">
        <v>159</v>
      </c>
      <c r="C2770" t="s">
        <v>5850</v>
      </c>
      <c r="D2770" t="s">
        <v>39</v>
      </c>
      <c r="E2770" t="s">
        <v>4965</v>
      </c>
      <c r="F2770" t="s">
        <v>5851</v>
      </c>
      <c r="G2770" t="str">
        <f>"00534295"</f>
        <v>00534295</v>
      </c>
      <c r="H2770">
        <v>28.8</v>
      </c>
      <c r="I2770">
        <v>0</v>
      </c>
      <c r="M2770">
        <v>0</v>
      </c>
      <c r="N2770">
        <v>4</v>
      </c>
      <c r="O2770">
        <v>0</v>
      </c>
      <c r="P2770">
        <v>32.799999999999997</v>
      </c>
      <c r="Q2770">
        <v>0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0</v>
      </c>
      <c r="Z2770">
        <v>9</v>
      </c>
      <c r="AA2770">
        <v>0</v>
      </c>
      <c r="AC2770">
        <v>41.8</v>
      </c>
    </row>
    <row r="2771" spans="1:29">
      <c r="A2771">
        <v>2764</v>
      </c>
      <c r="B2771">
        <v>1350</v>
      </c>
      <c r="C2771" t="s">
        <v>5855</v>
      </c>
      <c r="D2771" t="s">
        <v>159</v>
      </c>
      <c r="E2771" t="s">
        <v>66</v>
      </c>
      <c r="F2771" t="s">
        <v>5856</v>
      </c>
      <c r="G2771" t="str">
        <f>"00143699"</f>
        <v>00143699</v>
      </c>
      <c r="H2771">
        <v>28.8</v>
      </c>
      <c r="I2771">
        <v>0</v>
      </c>
      <c r="K2771">
        <v>6</v>
      </c>
      <c r="M2771">
        <v>6</v>
      </c>
      <c r="N2771">
        <v>4</v>
      </c>
      <c r="O2771">
        <v>0</v>
      </c>
      <c r="P2771">
        <v>38.799999999999997</v>
      </c>
      <c r="Q2771">
        <v>0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0</v>
      </c>
      <c r="Y2771">
        <v>0</v>
      </c>
      <c r="Z2771">
        <v>3</v>
      </c>
      <c r="AA2771">
        <v>0</v>
      </c>
      <c r="AC2771">
        <v>41.8</v>
      </c>
    </row>
    <row r="2772" spans="1:29">
      <c r="A2772">
        <v>2765</v>
      </c>
      <c r="B2772">
        <v>3563</v>
      </c>
      <c r="C2772" t="s">
        <v>5852</v>
      </c>
      <c r="D2772" t="s">
        <v>5853</v>
      </c>
      <c r="E2772" t="s">
        <v>36</v>
      </c>
      <c r="F2772" t="s">
        <v>5854</v>
      </c>
      <c r="G2772" t="str">
        <f>"00558455"</f>
        <v>00558455</v>
      </c>
      <c r="H2772">
        <v>28.8</v>
      </c>
      <c r="I2772">
        <v>0</v>
      </c>
      <c r="L2772">
        <v>4</v>
      </c>
      <c r="M2772">
        <v>4</v>
      </c>
      <c r="N2772">
        <v>4</v>
      </c>
      <c r="O2772">
        <v>2</v>
      </c>
      <c r="P2772">
        <v>38.799999999999997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0</v>
      </c>
      <c r="Z2772">
        <v>3</v>
      </c>
      <c r="AA2772">
        <v>0</v>
      </c>
      <c r="AC2772">
        <v>41.8</v>
      </c>
    </row>
    <row r="2773" spans="1:29">
      <c r="A2773">
        <v>2766</v>
      </c>
      <c r="B2773">
        <v>3018</v>
      </c>
      <c r="C2773" t="s">
        <v>5857</v>
      </c>
      <c r="D2773" t="s">
        <v>164</v>
      </c>
      <c r="E2773" t="s">
        <v>621</v>
      </c>
      <c r="F2773" t="s">
        <v>5858</v>
      </c>
      <c r="G2773" t="str">
        <f>"00654988"</f>
        <v>00654988</v>
      </c>
      <c r="H2773">
        <v>31.72</v>
      </c>
      <c r="I2773">
        <v>0</v>
      </c>
      <c r="M2773">
        <v>0</v>
      </c>
      <c r="N2773">
        <v>4</v>
      </c>
      <c r="O2773">
        <v>0</v>
      </c>
      <c r="P2773">
        <v>35.72</v>
      </c>
      <c r="Q2773">
        <v>0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0</v>
      </c>
      <c r="Z2773">
        <v>6</v>
      </c>
      <c r="AA2773">
        <v>0</v>
      </c>
      <c r="AC2773">
        <v>41.72</v>
      </c>
    </row>
    <row r="2774" spans="1:29">
      <c r="A2774">
        <v>2767</v>
      </c>
      <c r="B2774">
        <v>3311</v>
      </c>
      <c r="C2774" t="s">
        <v>4379</v>
      </c>
      <c r="D2774" t="s">
        <v>27</v>
      </c>
      <c r="E2774" t="s">
        <v>340</v>
      </c>
      <c r="F2774" t="s">
        <v>5859</v>
      </c>
      <c r="G2774" t="str">
        <f>"00200244"</f>
        <v>00200244</v>
      </c>
      <c r="H2774">
        <v>24.72</v>
      </c>
      <c r="I2774">
        <v>10</v>
      </c>
      <c r="M2774">
        <v>0</v>
      </c>
      <c r="N2774">
        <v>4</v>
      </c>
      <c r="O2774">
        <v>0</v>
      </c>
      <c r="P2774">
        <v>38.72</v>
      </c>
      <c r="Q2774">
        <v>0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0</v>
      </c>
      <c r="Z2774">
        <v>3</v>
      </c>
      <c r="AA2774">
        <v>0</v>
      </c>
      <c r="AC2774">
        <v>41.72</v>
      </c>
    </row>
    <row r="2775" spans="1:29">
      <c r="A2775">
        <v>2768</v>
      </c>
      <c r="B2775">
        <v>1334</v>
      </c>
      <c r="C2775" t="s">
        <v>5860</v>
      </c>
      <c r="D2775" t="s">
        <v>98</v>
      </c>
      <c r="E2775" t="s">
        <v>79</v>
      </c>
      <c r="F2775" t="s">
        <v>5861</v>
      </c>
      <c r="G2775" t="str">
        <f>"201412002838"</f>
        <v>201412002838</v>
      </c>
      <c r="H2775">
        <v>38.68</v>
      </c>
      <c r="I2775">
        <v>0</v>
      </c>
      <c r="M2775">
        <v>0</v>
      </c>
      <c r="N2775">
        <v>0</v>
      </c>
      <c r="O2775">
        <v>0</v>
      </c>
      <c r="P2775">
        <v>38.68</v>
      </c>
      <c r="Q2775">
        <v>0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0</v>
      </c>
      <c r="Z2775">
        <v>3</v>
      </c>
      <c r="AA2775">
        <v>0</v>
      </c>
      <c r="AC2775">
        <v>41.68</v>
      </c>
    </row>
    <row r="2776" spans="1:29">
      <c r="A2776">
        <v>2769</v>
      </c>
      <c r="B2776">
        <v>2101</v>
      </c>
      <c r="C2776" t="s">
        <v>1303</v>
      </c>
      <c r="D2776" t="s">
        <v>27</v>
      </c>
      <c r="E2776" t="s">
        <v>79</v>
      </c>
      <c r="F2776" t="s">
        <v>5862</v>
      </c>
      <c r="G2776" t="str">
        <f>"201511039123"</f>
        <v>201511039123</v>
      </c>
      <c r="H2776">
        <v>25.64</v>
      </c>
      <c r="I2776">
        <v>0</v>
      </c>
      <c r="M2776">
        <v>0</v>
      </c>
      <c r="N2776">
        <v>0</v>
      </c>
      <c r="O2776">
        <v>0</v>
      </c>
      <c r="P2776">
        <v>25.64</v>
      </c>
      <c r="Q2776">
        <v>13</v>
      </c>
      <c r="R2776">
        <v>13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13</v>
      </c>
      <c r="Z2776">
        <v>3</v>
      </c>
      <c r="AA2776">
        <v>0</v>
      </c>
      <c r="AC2776">
        <v>41.64</v>
      </c>
    </row>
    <row r="2777" spans="1:29">
      <c r="A2777">
        <v>2770</v>
      </c>
      <c r="B2777">
        <v>2005</v>
      </c>
      <c r="C2777" t="s">
        <v>5863</v>
      </c>
      <c r="D2777" t="s">
        <v>5864</v>
      </c>
      <c r="E2777" t="s">
        <v>15</v>
      </c>
      <c r="F2777" t="s">
        <v>5865</v>
      </c>
      <c r="G2777" t="str">
        <f>"00857817"</f>
        <v>00857817</v>
      </c>
      <c r="H2777">
        <v>21.6</v>
      </c>
      <c r="I2777">
        <v>0</v>
      </c>
      <c r="J2777">
        <v>8</v>
      </c>
      <c r="M2777">
        <v>8</v>
      </c>
      <c r="N2777">
        <v>4</v>
      </c>
      <c r="O2777">
        <v>2</v>
      </c>
      <c r="P2777">
        <v>35.6</v>
      </c>
      <c r="Q2777">
        <v>0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0</v>
      </c>
      <c r="Y2777">
        <v>0</v>
      </c>
      <c r="Z2777">
        <v>6</v>
      </c>
      <c r="AA2777">
        <v>0</v>
      </c>
      <c r="AC2777">
        <v>41.6</v>
      </c>
    </row>
    <row r="2778" spans="1:29">
      <c r="A2778">
        <v>2771</v>
      </c>
      <c r="B2778">
        <v>2455</v>
      </c>
      <c r="C2778" t="s">
        <v>5866</v>
      </c>
      <c r="D2778" t="s">
        <v>98</v>
      </c>
      <c r="E2778" t="s">
        <v>60</v>
      </c>
      <c r="F2778" t="s">
        <v>5867</v>
      </c>
      <c r="G2778" t="str">
        <f>"00534421"</f>
        <v>00534421</v>
      </c>
      <c r="H2778">
        <v>21.6</v>
      </c>
      <c r="I2778">
        <v>0</v>
      </c>
      <c r="J2778">
        <v>8</v>
      </c>
      <c r="M2778">
        <v>8</v>
      </c>
      <c r="N2778">
        <v>4</v>
      </c>
      <c r="O2778">
        <v>0</v>
      </c>
      <c r="P2778">
        <v>33.6</v>
      </c>
      <c r="Q2778">
        <v>5</v>
      </c>
      <c r="R2778">
        <v>5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5</v>
      </c>
      <c r="Z2778">
        <v>3</v>
      </c>
      <c r="AA2778">
        <v>0</v>
      </c>
      <c r="AC2778">
        <v>41.6</v>
      </c>
    </row>
    <row r="2779" spans="1:29">
      <c r="A2779">
        <v>2772</v>
      </c>
      <c r="B2779">
        <v>978</v>
      </c>
      <c r="C2779" t="s">
        <v>5868</v>
      </c>
      <c r="D2779" t="s">
        <v>1299</v>
      </c>
      <c r="E2779" t="s">
        <v>15</v>
      </c>
      <c r="F2779" t="s">
        <v>5869</v>
      </c>
      <c r="G2779" t="str">
        <f>"00858182"</f>
        <v>00858182</v>
      </c>
      <c r="H2779">
        <v>39.6</v>
      </c>
      <c r="I2779">
        <v>0</v>
      </c>
      <c r="M2779">
        <v>0</v>
      </c>
      <c r="N2779">
        <v>0</v>
      </c>
      <c r="O2779">
        <v>2</v>
      </c>
      <c r="P2779">
        <v>41.6</v>
      </c>
      <c r="Q2779">
        <v>0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0</v>
      </c>
      <c r="Z2779">
        <v>0</v>
      </c>
      <c r="AA2779">
        <v>0</v>
      </c>
      <c r="AC2779">
        <v>41.6</v>
      </c>
    </row>
    <row r="2780" spans="1:29">
      <c r="A2780">
        <v>2773</v>
      </c>
      <c r="B2780">
        <v>4573</v>
      </c>
      <c r="C2780" t="s">
        <v>2673</v>
      </c>
      <c r="D2780" t="s">
        <v>5870</v>
      </c>
      <c r="E2780" t="s">
        <v>28</v>
      </c>
      <c r="F2780" t="s">
        <v>5871</v>
      </c>
      <c r="G2780" t="str">
        <f>"00640829"</f>
        <v>00640829</v>
      </c>
      <c r="H2780">
        <v>37.6</v>
      </c>
      <c r="I2780">
        <v>0</v>
      </c>
      <c r="L2780">
        <v>4</v>
      </c>
      <c r="M2780">
        <v>4</v>
      </c>
      <c r="N2780">
        <v>0</v>
      </c>
      <c r="O2780">
        <v>0</v>
      </c>
      <c r="P2780">
        <v>41.6</v>
      </c>
      <c r="Q2780">
        <v>0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0</v>
      </c>
      <c r="Z2780">
        <v>0</v>
      </c>
      <c r="AA2780">
        <v>0</v>
      </c>
      <c r="AC2780">
        <v>41.6</v>
      </c>
    </row>
    <row r="2781" spans="1:29">
      <c r="A2781">
        <v>2774</v>
      </c>
      <c r="B2781">
        <v>1548</v>
      </c>
      <c r="C2781" t="s">
        <v>5872</v>
      </c>
      <c r="D2781" t="s">
        <v>784</v>
      </c>
      <c r="E2781" t="s">
        <v>79</v>
      </c>
      <c r="F2781" t="s">
        <v>5873</v>
      </c>
      <c r="G2781" t="str">
        <f>"00371450"</f>
        <v>00371450</v>
      </c>
      <c r="H2781">
        <v>31.6</v>
      </c>
      <c r="I2781">
        <v>0</v>
      </c>
      <c r="J2781">
        <v>8</v>
      </c>
      <c r="M2781">
        <v>8</v>
      </c>
      <c r="N2781">
        <v>0</v>
      </c>
      <c r="O2781">
        <v>2</v>
      </c>
      <c r="P2781">
        <v>41.6</v>
      </c>
      <c r="Q2781">
        <v>0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0</v>
      </c>
      <c r="Z2781">
        <v>0</v>
      </c>
      <c r="AA2781">
        <v>0</v>
      </c>
      <c r="AC2781">
        <v>41.6</v>
      </c>
    </row>
    <row r="2782" spans="1:29">
      <c r="A2782">
        <v>2775</v>
      </c>
      <c r="B2782">
        <v>4608</v>
      </c>
      <c r="C2782" t="s">
        <v>563</v>
      </c>
      <c r="D2782" t="s">
        <v>27</v>
      </c>
      <c r="E2782" t="s">
        <v>79</v>
      </c>
      <c r="F2782" t="s">
        <v>5874</v>
      </c>
      <c r="G2782" t="str">
        <f>"00752300"</f>
        <v>00752300</v>
      </c>
      <c r="H2782">
        <v>31.6</v>
      </c>
      <c r="I2782">
        <v>10</v>
      </c>
      <c r="M2782">
        <v>0</v>
      </c>
      <c r="N2782">
        <v>0</v>
      </c>
      <c r="O2782">
        <v>0</v>
      </c>
      <c r="P2782">
        <v>41.6</v>
      </c>
      <c r="Q2782">
        <v>0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  <c r="Y2782">
        <v>0</v>
      </c>
      <c r="Z2782">
        <v>0</v>
      </c>
      <c r="AA2782">
        <v>0</v>
      </c>
      <c r="AC2782">
        <v>41.6</v>
      </c>
    </row>
    <row r="2783" spans="1:29">
      <c r="A2783">
        <v>2776</v>
      </c>
      <c r="B2783">
        <v>1337</v>
      </c>
      <c r="C2783" t="s">
        <v>5875</v>
      </c>
      <c r="D2783" t="s">
        <v>52</v>
      </c>
      <c r="E2783" t="s">
        <v>337</v>
      </c>
      <c r="F2783" t="s">
        <v>5876</v>
      </c>
      <c r="G2783" t="str">
        <f>"00857739"</f>
        <v>00857739</v>
      </c>
      <c r="H2783">
        <v>27.6</v>
      </c>
      <c r="I2783">
        <v>10</v>
      </c>
      <c r="M2783">
        <v>0</v>
      </c>
      <c r="N2783">
        <v>4</v>
      </c>
      <c r="O2783">
        <v>0</v>
      </c>
      <c r="P2783">
        <v>41.6</v>
      </c>
      <c r="Q2783">
        <v>0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0</v>
      </c>
      <c r="Z2783">
        <v>0</v>
      </c>
      <c r="AA2783">
        <v>0</v>
      </c>
      <c r="AC2783">
        <v>41.6</v>
      </c>
    </row>
    <row r="2784" spans="1:29">
      <c r="A2784">
        <v>2777</v>
      </c>
      <c r="B2784">
        <v>3406</v>
      </c>
      <c r="C2784" t="s">
        <v>5877</v>
      </c>
      <c r="D2784" t="s">
        <v>164</v>
      </c>
      <c r="E2784" t="s">
        <v>15</v>
      </c>
      <c r="F2784" t="s">
        <v>5878</v>
      </c>
      <c r="G2784" t="str">
        <f>"00577715"</f>
        <v>00577715</v>
      </c>
      <c r="H2784">
        <v>21.6</v>
      </c>
      <c r="I2784">
        <v>0</v>
      </c>
      <c r="J2784">
        <v>8</v>
      </c>
      <c r="K2784">
        <v>6</v>
      </c>
      <c r="M2784">
        <v>14</v>
      </c>
      <c r="N2784">
        <v>4</v>
      </c>
      <c r="O2784">
        <v>2</v>
      </c>
      <c r="P2784">
        <v>41.6</v>
      </c>
      <c r="Q2784">
        <v>0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0</v>
      </c>
      <c r="Z2784">
        <v>0</v>
      </c>
      <c r="AA2784">
        <v>0</v>
      </c>
      <c r="AC2784">
        <v>41.6</v>
      </c>
    </row>
    <row r="2785" spans="1:29">
      <c r="A2785">
        <v>2778</v>
      </c>
      <c r="B2785">
        <v>3106</v>
      </c>
      <c r="C2785" t="s">
        <v>5879</v>
      </c>
      <c r="D2785" t="s">
        <v>5880</v>
      </c>
      <c r="E2785" t="s">
        <v>5881</v>
      </c>
      <c r="F2785" t="s">
        <v>5882</v>
      </c>
      <c r="G2785" t="str">
        <f>"00291692"</f>
        <v>00291692</v>
      </c>
      <c r="H2785">
        <v>19.600000000000001</v>
      </c>
      <c r="I2785">
        <v>0</v>
      </c>
      <c r="J2785">
        <v>16</v>
      </c>
      <c r="M2785">
        <v>16</v>
      </c>
      <c r="N2785">
        <v>4</v>
      </c>
      <c r="O2785">
        <v>2</v>
      </c>
      <c r="P2785">
        <v>41.6</v>
      </c>
      <c r="Q2785">
        <v>0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0</v>
      </c>
      <c r="Y2785">
        <v>0</v>
      </c>
      <c r="Z2785">
        <v>0</v>
      </c>
      <c r="AA2785">
        <v>0</v>
      </c>
      <c r="AC2785">
        <v>41.6</v>
      </c>
    </row>
    <row r="2786" spans="1:29">
      <c r="A2786">
        <v>2779</v>
      </c>
      <c r="B2786">
        <v>3275</v>
      </c>
      <c r="C2786" t="s">
        <v>5883</v>
      </c>
      <c r="D2786" t="s">
        <v>739</v>
      </c>
      <c r="E2786" t="s">
        <v>322</v>
      </c>
      <c r="F2786" t="s">
        <v>5884</v>
      </c>
      <c r="G2786" t="str">
        <f>"00531919"</f>
        <v>00531919</v>
      </c>
      <c r="H2786">
        <v>29.6</v>
      </c>
      <c r="I2786">
        <v>0</v>
      </c>
      <c r="M2786">
        <v>0</v>
      </c>
      <c r="N2786">
        <v>4</v>
      </c>
      <c r="O2786">
        <v>0</v>
      </c>
      <c r="P2786">
        <v>33.6</v>
      </c>
      <c r="Q2786">
        <v>8</v>
      </c>
      <c r="R2786">
        <v>8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8</v>
      </c>
      <c r="Z2786">
        <v>0</v>
      </c>
      <c r="AA2786">
        <v>0</v>
      </c>
      <c r="AC2786">
        <v>41.6</v>
      </c>
    </row>
    <row r="2787" spans="1:29">
      <c r="A2787">
        <v>2780</v>
      </c>
      <c r="B2787">
        <v>196</v>
      </c>
      <c r="C2787" t="s">
        <v>5885</v>
      </c>
      <c r="D2787" t="s">
        <v>261</v>
      </c>
      <c r="E2787" t="s">
        <v>5886</v>
      </c>
      <c r="F2787" t="s">
        <v>5887</v>
      </c>
      <c r="G2787" t="str">
        <f>"00532696"</f>
        <v>00532696</v>
      </c>
      <c r="H2787">
        <v>21.6</v>
      </c>
      <c r="I2787">
        <v>0</v>
      </c>
      <c r="M2787">
        <v>0</v>
      </c>
      <c r="N2787">
        <v>4</v>
      </c>
      <c r="O2787">
        <v>2</v>
      </c>
      <c r="P2787">
        <v>27.6</v>
      </c>
      <c r="Q2787">
        <v>14</v>
      </c>
      <c r="R2787">
        <v>14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14</v>
      </c>
      <c r="Z2787">
        <v>0</v>
      </c>
      <c r="AA2787">
        <v>0</v>
      </c>
      <c r="AC2787">
        <v>41.6</v>
      </c>
    </row>
    <row r="2788" spans="1:29">
      <c r="A2788">
        <v>2781</v>
      </c>
      <c r="B2788">
        <v>3623</v>
      </c>
      <c r="C2788" t="s">
        <v>5888</v>
      </c>
      <c r="D2788" t="s">
        <v>1330</v>
      </c>
      <c r="E2788" t="s">
        <v>60</v>
      </c>
      <c r="F2788" t="s">
        <v>5889</v>
      </c>
      <c r="G2788" t="str">
        <f>"00264275"</f>
        <v>00264275</v>
      </c>
      <c r="H2788">
        <v>38.56</v>
      </c>
      <c r="I2788">
        <v>0</v>
      </c>
      <c r="M2788">
        <v>0</v>
      </c>
      <c r="N2788">
        <v>0</v>
      </c>
      <c r="O2788">
        <v>0</v>
      </c>
      <c r="P2788">
        <v>38.56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0</v>
      </c>
      <c r="Z2788">
        <v>3</v>
      </c>
      <c r="AA2788">
        <v>0</v>
      </c>
      <c r="AC2788">
        <v>41.56</v>
      </c>
    </row>
    <row r="2789" spans="1:29">
      <c r="A2789">
        <v>2782</v>
      </c>
      <c r="B2789">
        <v>677</v>
      </c>
      <c r="C2789" t="s">
        <v>4204</v>
      </c>
      <c r="D2789" t="s">
        <v>185</v>
      </c>
      <c r="E2789" t="s">
        <v>50</v>
      </c>
      <c r="F2789" t="s">
        <v>5890</v>
      </c>
      <c r="G2789" t="str">
        <f>"00776742"</f>
        <v>00776742</v>
      </c>
      <c r="H2789">
        <v>34.56</v>
      </c>
      <c r="I2789">
        <v>0</v>
      </c>
      <c r="M2789">
        <v>0</v>
      </c>
      <c r="N2789">
        <v>4</v>
      </c>
      <c r="O2789">
        <v>0</v>
      </c>
      <c r="P2789">
        <v>38.56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0</v>
      </c>
      <c r="Z2789">
        <v>3</v>
      </c>
      <c r="AA2789">
        <v>0</v>
      </c>
      <c r="AC2789">
        <v>41.56</v>
      </c>
    </row>
    <row r="2790" spans="1:29">
      <c r="A2790">
        <v>2783</v>
      </c>
      <c r="B2790">
        <v>3452</v>
      </c>
      <c r="C2790" t="s">
        <v>4868</v>
      </c>
      <c r="D2790" t="s">
        <v>17</v>
      </c>
      <c r="E2790" t="s">
        <v>227</v>
      </c>
      <c r="F2790" t="s">
        <v>5891</v>
      </c>
      <c r="G2790" t="str">
        <f>"00504645"</f>
        <v>00504645</v>
      </c>
      <c r="H2790">
        <v>35.44</v>
      </c>
      <c r="I2790">
        <v>0</v>
      </c>
      <c r="M2790">
        <v>0</v>
      </c>
      <c r="N2790">
        <v>0</v>
      </c>
      <c r="O2790">
        <v>0</v>
      </c>
      <c r="P2790">
        <v>35.44</v>
      </c>
      <c r="Q2790">
        <v>0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0</v>
      </c>
      <c r="Z2790">
        <v>6</v>
      </c>
      <c r="AA2790">
        <v>0</v>
      </c>
      <c r="AC2790">
        <v>41.44</v>
      </c>
    </row>
    <row r="2791" spans="1:29">
      <c r="A2791">
        <v>2784</v>
      </c>
      <c r="B2791">
        <v>2603</v>
      </c>
      <c r="C2791" t="s">
        <v>5892</v>
      </c>
      <c r="D2791" t="s">
        <v>5893</v>
      </c>
      <c r="E2791" t="s">
        <v>5894</v>
      </c>
      <c r="F2791" t="s">
        <v>5895</v>
      </c>
      <c r="G2791" t="str">
        <f>"00562454"</f>
        <v>00562454</v>
      </c>
      <c r="H2791">
        <v>25.44</v>
      </c>
      <c r="I2791">
        <v>10</v>
      </c>
      <c r="M2791">
        <v>0</v>
      </c>
      <c r="N2791">
        <v>0</v>
      </c>
      <c r="O2791">
        <v>0</v>
      </c>
      <c r="P2791">
        <v>35.44</v>
      </c>
      <c r="Q2791">
        <v>0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0</v>
      </c>
      <c r="Z2791">
        <v>6</v>
      </c>
      <c r="AA2791">
        <v>0</v>
      </c>
      <c r="AC2791">
        <v>41.44</v>
      </c>
    </row>
    <row r="2792" spans="1:29">
      <c r="A2792">
        <v>2785</v>
      </c>
      <c r="B2792">
        <v>167</v>
      </c>
      <c r="C2792" t="s">
        <v>5896</v>
      </c>
      <c r="D2792" t="s">
        <v>20</v>
      </c>
      <c r="E2792" t="s">
        <v>36</v>
      </c>
      <c r="F2792" t="s">
        <v>5897</v>
      </c>
      <c r="G2792" t="str">
        <f>"00854786"</f>
        <v>00854786</v>
      </c>
      <c r="H2792">
        <v>33.44</v>
      </c>
      <c r="I2792">
        <v>0</v>
      </c>
      <c r="L2792">
        <v>4</v>
      </c>
      <c r="M2792">
        <v>4</v>
      </c>
      <c r="N2792">
        <v>4</v>
      </c>
      <c r="O2792">
        <v>0</v>
      </c>
      <c r="P2792">
        <v>41.44</v>
      </c>
      <c r="Q2792">
        <v>0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0</v>
      </c>
      <c r="Z2792">
        <v>0</v>
      </c>
      <c r="AA2792">
        <v>0</v>
      </c>
      <c r="AC2792">
        <v>41.44</v>
      </c>
    </row>
    <row r="2793" spans="1:29">
      <c r="A2793">
        <v>2786</v>
      </c>
      <c r="B2793">
        <v>2917</v>
      </c>
      <c r="C2793" t="s">
        <v>5898</v>
      </c>
      <c r="D2793" t="s">
        <v>159</v>
      </c>
      <c r="E2793" t="s">
        <v>967</v>
      </c>
      <c r="F2793" t="s">
        <v>5899</v>
      </c>
      <c r="G2793" t="str">
        <f>"00530585"</f>
        <v>00530585</v>
      </c>
      <c r="H2793">
        <v>14.4</v>
      </c>
      <c r="I2793">
        <v>0</v>
      </c>
      <c r="J2793">
        <v>8</v>
      </c>
      <c r="M2793">
        <v>8</v>
      </c>
      <c r="N2793">
        <v>4</v>
      </c>
      <c r="O2793">
        <v>2</v>
      </c>
      <c r="P2793">
        <v>28.4</v>
      </c>
      <c r="Q2793">
        <v>7</v>
      </c>
      <c r="R2793">
        <v>7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7</v>
      </c>
      <c r="Z2793">
        <v>6</v>
      </c>
      <c r="AA2793">
        <v>0</v>
      </c>
      <c r="AC2793">
        <v>41.4</v>
      </c>
    </row>
    <row r="2794" spans="1:29">
      <c r="A2794">
        <v>2787</v>
      </c>
      <c r="B2794">
        <v>1570</v>
      </c>
      <c r="C2794" t="s">
        <v>5900</v>
      </c>
      <c r="D2794" t="s">
        <v>130</v>
      </c>
      <c r="E2794" t="s">
        <v>322</v>
      </c>
      <c r="F2794" t="s">
        <v>5901</v>
      </c>
      <c r="G2794" t="str">
        <f>"201511027490"</f>
        <v>201511027490</v>
      </c>
      <c r="H2794">
        <v>14.4</v>
      </c>
      <c r="I2794">
        <v>10</v>
      </c>
      <c r="J2794">
        <v>8</v>
      </c>
      <c r="M2794">
        <v>8</v>
      </c>
      <c r="N2794">
        <v>4</v>
      </c>
      <c r="O2794">
        <v>2</v>
      </c>
      <c r="P2794">
        <v>38.4</v>
      </c>
      <c r="Q2794">
        <v>0</v>
      </c>
      <c r="R2794">
        <v>0</v>
      </c>
      <c r="S2794">
        <v>0</v>
      </c>
      <c r="T2794">
        <v>0</v>
      </c>
      <c r="U2794">
        <v>0</v>
      </c>
      <c r="V2794">
        <v>0</v>
      </c>
      <c r="W2794">
        <v>0</v>
      </c>
      <c r="X2794">
        <v>0</v>
      </c>
      <c r="Y2794">
        <v>0</v>
      </c>
      <c r="Z2794">
        <v>3</v>
      </c>
      <c r="AA2794">
        <v>0</v>
      </c>
      <c r="AC2794">
        <v>41.4</v>
      </c>
    </row>
    <row r="2795" spans="1:29">
      <c r="A2795">
        <v>2788</v>
      </c>
      <c r="B2795">
        <v>2383</v>
      </c>
      <c r="C2795" t="s">
        <v>5902</v>
      </c>
      <c r="D2795" t="s">
        <v>332</v>
      </c>
      <c r="E2795" t="s">
        <v>644</v>
      </c>
      <c r="F2795" t="s">
        <v>5903</v>
      </c>
      <c r="G2795" t="str">
        <f>"201511034585"</f>
        <v>201511034585</v>
      </c>
      <c r="H2795">
        <v>14.4</v>
      </c>
      <c r="I2795">
        <v>0</v>
      </c>
      <c r="L2795">
        <v>4</v>
      </c>
      <c r="M2795">
        <v>4</v>
      </c>
      <c r="N2795">
        <v>4</v>
      </c>
      <c r="O2795">
        <v>2</v>
      </c>
      <c r="P2795">
        <v>24.4</v>
      </c>
      <c r="Q2795">
        <v>17</v>
      </c>
      <c r="R2795">
        <v>17</v>
      </c>
      <c r="S2795">
        <v>0</v>
      </c>
      <c r="T2795">
        <v>0</v>
      </c>
      <c r="U2795">
        <v>0</v>
      </c>
      <c r="V2795">
        <v>0</v>
      </c>
      <c r="W2795">
        <v>0</v>
      </c>
      <c r="X2795">
        <v>0</v>
      </c>
      <c r="Y2795">
        <v>17</v>
      </c>
      <c r="Z2795">
        <v>0</v>
      </c>
      <c r="AA2795">
        <v>0</v>
      </c>
      <c r="AC2795">
        <v>41.4</v>
      </c>
    </row>
    <row r="2796" spans="1:29">
      <c r="A2796">
        <v>2789</v>
      </c>
      <c r="B2796">
        <v>622</v>
      </c>
      <c r="C2796" t="s">
        <v>5904</v>
      </c>
      <c r="D2796" t="s">
        <v>5905</v>
      </c>
      <c r="E2796" t="s">
        <v>53</v>
      </c>
      <c r="F2796" t="s">
        <v>5906</v>
      </c>
      <c r="G2796" t="str">
        <f>"00856043"</f>
        <v>00856043</v>
      </c>
      <c r="H2796">
        <v>37.32</v>
      </c>
      <c r="I2796">
        <v>0</v>
      </c>
      <c r="L2796">
        <v>4</v>
      </c>
      <c r="M2796">
        <v>4</v>
      </c>
      <c r="N2796">
        <v>0</v>
      </c>
      <c r="O2796">
        <v>0</v>
      </c>
      <c r="P2796">
        <v>41.32</v>
      </c>
      <c r="Q2796">
        <v>0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0</v>
      </c>
      <c r="Z2796">
        <v>0</v>
      </c>
      <c r="AA2796">
        <v>0</v>
      </c>
      <c r="AC2796">
        <v>41.32</v>
      </c>
    </row>
    <row r="2797" spans="1:29">
      <c r="A2797">
        <v>2790</v>
      </c>
      <c r="B2797">
        <v>2885</v>
      </c>
      <c r="C2797" t="s">
        <v>5907</v>
      </c>
      <c r="D2797" t="s">
        <v>164</v>
      </c>
      <c r="E2797" t="s">
        <v>18</v>
      </c>
      <c r="F2797" t="s">
        <v>5908</v>
      </c>
      <c r="G2797" t="str">
        <f>"00861012"</f>
        <v>00861012</v>
      </c>
      <c r="H2797">
        <v>38.28</v>
      </c>
      <c r="I2797">
        <v>0</v>
      </c>
      <c r="M2797">
        <v>0</v>
      </c>
      <c r="N2797">
        <v>0</v>
      </c>
      <c r="O2797">
        <v>0</v>
      </c>
      <c r="P2797">
        <v>38.28</v>
      </c>
      <c r="Q2797">
        <v>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0</v>
      </c>
      <c r="Z2797">
        <v>3</v>
      </c>
      <c r="AA2797">
        <v>0</v>
      </c>
      <c r="AC2797">
        <v>41.28</v>
      </c>
    </row>
    <row r="2798" spans="1:29">
      <c r="A2798">
        <v>2791</v>
      </c>
      <c r="B2798">
        <v>4767</v>
      </c>
      <c r="C2798" t="s">
        <v>5909</v>
      </c>
      <c r="D2798" t="s">
        <v>473</v>
      </c>
      <c r="E2798" t="s">
        <v>28</v>
      </c>
      <c r="F2798" t="s">
        <v>5910</v>
      </c>
      <c r="G2798" t="str">
        <f>"00531286"</f>
        <v>00531286</v>
      </c>
      <c r="H2798">
        <v>24.28</v>
      </c>
      <c r="I2798">
        <v>10</v>
      </c>
      <c r="M2798">
        <v>0</v>
      </c>
      <c r="N2798">
        <v>4</v>
      </c>
      <c r="O2798">
        <v>0</v>
      </c>
      <c r="P2798">
        <v>38.28</v>
      </c>
      <c r="Q2798">
        <v>0</v>
      </c>
      <c r="R2798">
        <v>0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0</v>
      </c>
      <c r="Z2798">
        <v>3</v>
      </c>
      <c r="AA2798">
        <v>0</v>
      </c>
      <c r="AC2798">
        <v>41.28</v>
      </c>
    </row>
    <row r="2799" spans="1:29">
      <c r="A2799">
        <v>2792</v>
      </c>
      <c r="B2799">
        <v>1319</v>
      </c>
      <c r="C2799" t="s">
        <v>5911</v>
      </c>
      <c r="D2799" t="s">
        <v>554</v>
      </c>
      <c r="E2799" t="s">
        <v>134</v>
      </c>
      <c r="F2799" t="s">
        <v>5912</v>
      </c>
      <c r="G2799" t="str">
        <f>"00747486"</f>
        <v>00747486</v>
      </c>
      <c r="H2799">
        <v>29.24</v>
      </c>
      <c r="I2799">
        <v>0</v>
      </c>
      <c r="M2799">
        <v>0</v>
      </c>
      <c r="N2799">
        <v>4</v>
      </c>
      <c r="O2799">
        <v>2</v>
      </c>
      <c r="P2799">
        <v>35.24</v>
      </c>
      <c r="Q2799">
        <v>0</v>
      </c>
      <c r="R2799">
        <v>0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0</v>
      </c>
      <c r="Y2799">
        <v>0</v>
      </c>
      <c r="Z2799">
        <v>6</v>
      </c>
      <c r="AA2799">
        <v>0</v>
      </c>
      <c r="AC2799">
        <v>41.24</v>
      </c>
    </row>
    <row r="2800" spans="1:29">
      <c r="A2800">
        <v>2793</v>
      </c>
      <c r="B2800">
        <v>2865</v>
      </c>
      <c r="C2800" t="s">
        <v>2221</v>
      </c>
      <c r="D2800" t="s">
        <v>5913</v>
      </c>
      <c r="E2800" t="s">
        <v>322</v>
      </c>
      <c r="F2800" t="s">
        <v>5914</v>
      </c>
      <c r="G2800" t="str">
        <f>"00508400"</f>
        <v>00508400</v>
      </c>
      <c r="H2800">
        <v>34.24</v>
      </c>
      <c r="I2800">
        <v>0</v>
      </c>
      <c r="M2800">
        <v>0</v>
      </c>
      <c r="N2800">
        <v>4</v>
      </c>
      <c r="O2800">
        <v>0</v>
      </c>
      <c r="P2800">
        <v>38.24</v>
      </c>
      <c r="Q2800">
        <v>0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0</v>
      </c>
      <c r="Z2800">
        <v>3</v>
      </c>
      <c r="AA2800">
        <v>0</v>
      </c>
      <c r="AC2800">
        <v>41.24</v>
      </c>
    </row>
    <row r="2801" spans="1:29">
      <c r="A2801">
        <v>2794</v>
      </c>
      <c r="B2801">
        <v>1187</v>
      </c>
      <c r="C2801" t="s">
        <v>2039</v>
      </c>
      <c r="D2801" t="s">
        <v>175</v>
      </c>
      <c r="E2801" t="s">
        <v>233</v>
      </c>
      <c r="F2801" t="s">
        <v>5915</v>
      </c>
      <c r="G2801" t="str">
        <f>"00146962"</f>
        <v>00146962</v>
      </c>
      <c r="H2801">
        <v>30.24</v>
      </c>
      <c r="I2801">
        <v>0</v>
      </c>
      <c r="L2801">
        <v>4</v>
      </c>
      <c r="M2801">
        <v>4</v>
      </c>
      <c r="N2801">
        <v>4</v>
      </c>
      <c r="O2801">
        <v>0</v>
      </c>
      <c r="P2801">
        <v>38.24</v>
      </c>
      <c r="Q2801">
        <v>0</v>
      </c>
      <c r="R2801">
        <v>0</v>
      </c>
      <c r="S2801">
        <v>0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0</v>
      </c>
      <c r="Z2801">
        <v>3</v>
      </c>
      <c r="AA2801">
        <v>0</v>
      </c>
      <c r="AC2801">
        <v>41.24</v>
      </c>
    </row>
    <row r="2802" spans="1:29">
      <c r="A2802">
        <v>2795</v>
      </c>
      <c r="B2802">
        <v>3933</v>
      </c>
      <c r="C2802" t="s">
        <v>5916</v>
      </c>
      <c r="D2802" t="s">
        <v>261</v>
      </c>
      <c r="E2802" t="s">
        <v>66</v>
      </c>
      <c r="F2802" t="s">
        <v>5917</v>
      </c>
      <c r="G2802" t="str">
        <f>"00554412"</f>
        <v>00554412</v>
      </c>
      <c r="H2802">
        <v>30.2</v>
      </c>
      <c r="I2802">
        <v>0</v>
      </c>
      <c r="L2802">
        <v>4</v>
      </c>
      <c r="M2802">
        <v>4</v>
      </c>
      <c r="N2802">
        <v>0</v>
      </c>
      <c r="O2802">
        <v>0</v>
      </c>
      <c r="P2802">
        <v>34.200000000000003</v>
      </c>
      <c r="Q2802">
        <v>1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0</v>
      </c>
      <c r="Y2802">
        <v>1</v>
      </c>
      <c r="Z2802">
        <v>6</v>
      </c>
      <c r="AA2802">
        <v>0</v>
      </c>
      <c r="AC2802">
        <v>41.2</v>
      </c>
    </row>
    <row r="2803" spans="1:29">
      <c r="A2803">
        <v>2796</v>
      </c>
      <c r="B2803">
        <v>3482</v>
      </c>
      <c r="C2803" t="s">
        <v>5918</v>
      </c>
      <c r="D2803" t="s">
        <v>987</v>
      </c>
      <c r="E2803" t="s">
        <v>60</v>
      </c>
      <c r="F2803" t="s">
        <v>5919</v>
      </c>
      <c r="G2803" t="str">
        <f>"00533043"</f>
        <v>00533043</v>
      </c>
      <c r="H2803">
        <v>25.2</v>
      </c>
      <c r="I2803">
        <v>0</v>
      </c>
      <c r="L2803">
        <v>4</v>
      </c>
      <c r="M2803">
        <v>4</v>
      </c>
      <c r="N2803">
        <v>4</v>
      </c>
      <c r="O2803">
        <v>0</v>
      </c>
      <c r="P2803">
        <v>33.200000000000003</v>
      </c>
      <c r="Q2803">
        <v>5</v>
      </c>
      <c r="R2803">
        <v>5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5</v>
      </c>
      <c r="Z2803">
        <v>3</v>
      </c>
      <c r="AA2803">
        <v>0</v>
      </c>
      <c r="AC2803">
        <v>41.2</v>
      </c>
    </row>
    <row r="2804" spans="1:29">
      <c r="A2804">
        <v>2797</v>
      </c>
      <c r="B2804">
        <v>2256</v>
      </c>
      <c r="C2804" t="s">
        <v>5920</v>
      </c>
      <c r="D2804" t="s">
        <v>820</v>
      </c>
      <c r="E2804" t="s">
        <v>165</v>
      </c>
      <c r="F2804" t="s">
        <v>5921</v>
      </c>
      <c r="G2804" t="str">
        <f>"00860907"</f>
        <v>00860907</v>
      </c>
      <c r="H2804">
        <v>39.200000000000003</v>
      </c>
      <c r="I2804">
        <v>0</v>
      </c>
      <c r="M2804">
        <v>0</v>
      </c>
      <c r="N2804">
        <v>0</v>
      </c>
      <c r="O2804">
        <v>2</v>
      </c>
      <c r="P2804">
        <v>41.2</v>
      </c>
      <c r="Q2804">
        <v>0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0</v>
      </c>
      <c r="Z2804">
        <v>0</v>
      </c>
      <c r="AA2804">
        <v>0</v>
      </c>
      <c r="AC2804">
        <v>41.2</v>
      </c>
    </row>
    <row r="2805" spans="1:29">
      <c r="A2805">
        <v>2798</v>
      </c>
      <c r="B2805">
        <v>2951</v>
      </c>
      <c r="C2805" t="s">
        <v>5922</v>
      </c>
      <c r="D2805" t="s">
        <v>5923</v>
      </c>
      <c r="E2805" t="s">
        <v>18</v>
      </c>
      <c r="F2805" t="s">
        <v>5924</v>
      </c>
      <c r="G2805" t="str">
        <f>"00860705"</f>
        <v>00860705</v>
      </c>
      <c r="H2805">
        <v>39.200000000000003</v>
      </c>
      <c r="I2805">
        <v>0</v>
      </c>
      <c r="M2805">
        <v>0</v>
      </c>
      <c r="N2805">
        <v>0</v>
      </c>
      <c r="O2805">
        <v>2</v>
      </c>
      <c r="P2805">
        <v>41.2</v>
      </c>
      <c r="Q2805">
        <v>0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0</v>
      </c>
      <c r="Z2805">
        <v>0</v>
      </c>
      <c r="AA2805">
        <v>0</v>
      </c>
      <c r="AC2805">
        <v>41.2</v>
      </c>
    </row>
    <row r="2806" spans="1:29">
      <c r="A2806">
        <v>2799</v>
      </c>
      <c r="B2806">
        <v>1948</v>
      </c>
      <c r="C2806" t="s">
        <v>5925</v>
      </c>
      <c r="D2806" t="s">
        <v>5179</v>
      </c>
      <c r="E2806" t="s">
        <v>5926</v>
      </c>
      <c r="F2806" t="s">
        <v>5927</v>
      </c>
      <c r="G2806" t="str">
        <f>"00853501"</f>
        <v>00853501</v>
      </c>
      <c r="H2806">
        <v>37.200000000000003</v>
      </c>
      <c r="I2806">
        <v>0</v>
      </c>
      <c r="M2806">
        <v>0</v>
      </c>
      <c r="N2806">
        <v>4</v>
      </c>
      <c r="O2806">
        <v>0</v>
      </c>
      <c r="P2806">
        <v>41.2</v>
      </c>
      <c r="Q2806">
        <v>0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0</v>
      </c>
      <c r="Z2806">
        <v>0</v>
      </c>
      <c r="AA2806">
        <v>0</v>
      </c>
      <c r="AC2806">
        <v>41.2</v>
      </c>
    </row>
    <row r="2807" spans="1:29">
      <c r="A2807">
        <v>2800</v>
      </c>
      <c r="B2807">
        <v>3001</v>
      </c>
      <c r="C2807" t="s">
        <v>5928</v>
      </c>
      <c r="D2807" t="s">
        <v>5929</v>
      </c>
      <c r="E2807" t="s">
        <v>18</v>
      </c>
      <c r="F2807" t="s">
        <v>5930</v>
      </c>
      <c r="G2807" t="str">
        <f>"00855108"</f>
        <v>00855108</v>
      </c>
      <c r="H2807">
        <v>33.200000000000003</v>
      </c>
      <c r="I2807">
        <v>0</v>
      </c>
      <c r="L2807">
        <v>4</v>
      </c>
      <c r="M2807">
        <v>4</v>
      </c>
      <c r="N2807">
        <v>4</v>
      </c>
      <c r="O2807">
        <v>0</v>
      </c>
      <c r="P2807">
        <v>41.2</v>
      </c>
      <c r="Q2807">
        <v>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0</v>
      </c>
      <c r="Z2807">
        <v>0</v>
      </c>
      <c r="AA2807">
        <v>0</v>
      </c>
      <c r="AC2807">
        <v>41.2</v>
      </c>
    </row>
    <row r="2808" spans="1:29">
      <c r="A2808">
        <v>2801</v>
      </c>
      <c r="B2808">
        <v>4173</v>
      </c>
      <c r="C2808" t="s">
        <v>5931</v>
      </c>
      <c r="D2808" t="s">
        <v>39</v>
      </c>
      <c r="E2808" t="s">
        <v>410</v>
      </c>
      <c r="F2808" t="s">
        <v>5932</v>
      </c>
      <c r="G2808" t="str">
        <f>"00863566"</f>
        <v>00863566</v>
      </c>
      <c r="H2808">
        <v>31.2</v>
      </c>
      <c r="I2808">
        <v>0</v>
      </c>
      <c r="L2808">
        <v>4</v>
      </c>
      <c r="M2808">
        <v>4</v>
      </c>
      <c r="N2808">
        <v>4</v>
      </c>
      <c r="O2808">
        <v>2</v>
      </c>
      <c r="P2808">
        <v>41.2</v>
      </c>
      <c r="Q2808">
        <v>0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0</v>
      </c>
      <c r="Z2808">
        <v>0</v>
      </c>
      <c r="AA2808">
        <v>0</v>
      </c>
      <c r="AC2808">
        <v>41.2</v>
      </c>
    </row>
    <row r="2809" spans="1:29">
      <c r="A2809">
        <v>2802</v>
      </c>
      <c r="B2809">
        <v>1537</v>
      </c>
      <c r="C2809" t="s">
        <v>1076</v>
      </c>
      <c r="D2809" t="s">
        <v>433</v>
      </c>
      <c r="E2809" t="s">
        <v>237</v>
      </c>
      <c r="F2809" t="s">
        <v>5933</v>
      </c>
      <c r="G2809" t="str">
        <f>"00529710"</f>
        <v>00529710</v>
      </c>
      <c r="H2809">
        <v>21.2</v>
      </c>
      <c r="I2809">
        <v>0</v>
      </c>
      <c r="L2809">
        <v>4</v>
      </c>
      <c r="M2809">
        <v>4</v>
      </c>
      <c r="N2809">
        <v>0</v>
      </c>
      <c r="O2809">
        <v>2</v>
      </c>
      <c r="P2809">
        <v>27.2</v>
      </c>
      <c r="Q2809">
        <v>14</v>
      </c>
      <c r="R2809">
        <v>14</v>
      </c>
      <c r="S2809">
        <v>0</v>
      </c>
      <c r="T2809">
        <v>0</v>
      </c>
      <c r="U2809">
        <v>0</v>
      </c>
      <c r="V2809">
        <v>0</v>
      </c>
      <c r="W2809">
        <v>0</v>
      </c>
      <c r="X2809">
        <v>0</v>
      </c>
      <c r="Y2809">
        <v>14</v>
      </c>
      <c r="Z2809">
        <v>0</v>
      </c>
      <c r="AA2809">
        <v>0</v>
      </c>
      <c r="AB2809" t="s">
        <v>128</v>
      </c>
      <c r="AC2809">
        <v>41.2</v>
      </c>
    </row>
    <row r="2810" spans="1:29">
      <c r="A2810">
        <v>2803</v>
      </c>
      <c r="B2810">
        <v>3222</v>
      </c>
      <c r="C2810" t="s">
        <v>5934</v>
      </c>
      <c r="D2810" t="s">
        <v>694</v>
      </c>
      <c r="E2810" t="s">
        <v>156</v>
      </c>
      <c r="F2810" t="s">
        <v>5935</v>
      </c>
      <c r="G2810" t="str">
        <f>"00556540"</f>
        <v>00556540</v>
      </c>
      <c r="H2810">
        <v>35.119999999999997</v>
      </c>
      <c r="I2810">
        <v>0</v>
      </c>
      <c r="M2810">
        <v>0</v>
      </c>
      <c r="N2810">
        <v>0</v>
      </c>
      <c r="O2810">
        <v>0</v>
      </c>
      <c r="P2810">
        <v>35.119999999999997</v>
      </c>
      <c r="Q2810">
        <v>0</v>
      </c>
      <c r="R2810">
        <v>0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0</v>
      </c>
      <c r="Y2810">
        <v>0</v>
      </c>
      <c r="Z2810">
        <v>6</v>
      </c>
      <c r="AA2810">
        <v>0</v>
      </c>
      <c r="AC2810">
        <v>41.12</v>
      </c>
    </row>
    <row r="2811" spans="1:29">
      <c r="A2811">
        <v>2804</v>
      </c>
      <c r="B2811">
        <v>4594</v>
      </c>
      <c r="C2811" t="s">
        <v>5936</v>
      </c>
      <c r="D2811" t="s">
        <v>784</v>
      </c>
      <c r="E2811" t="s">
        <v>15</v>
      </c>
      <c r="F2811" t="s">
        <v>5937</v>
      </c>
      <c r="G2811" t="str">
        <f>"201401000194"</f>
        <v>201401000194</v>
      </c>
      <c r="H2811">
        <v>37.08</v>
      </c>
      <c r="I2811">
        <v>0</v>
      </c>
      <c r="L2811">
        <v>4</v>
      </c>
      <c r="M2811">
        <v>4</v>
      </c>
      <c r="N2811">
        <v>0</v>
      </c>
      <c r="O2811">
        <v>0</v>
      </c>
      <c r="P2811">
        <v>41.08</v>
      </c>
      <c r="Q2811">
        <v>0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0</v>
      </c>
      <c r="Z2811">
        <v>0</v>
      </c>
      <c r="AA2811">
        <v>0</v>
      </c>
      <c r="AC2811">
        <v>41.08</v>
      </c>
    </row>
    <row r="2812" spans="1:29">
      <c r="A2812">
        <v>2805</v>
      </c>
      <c r="B2812">
        <v>3416</v>
      </c>
      <c r="C2812" t="s">
        <v>1248</v>
      </c>
      <c r="D2812" t="s">
        <v>130</v>
      </c>
      <c r="E2812" t="s">
        <v>28</v>
      </c>
      <c r="F2812" t="s">
        <v>5938</v>
      </c>
      <c r="G2812" t="str">
        <f>"00527334"</f>
        <v>00527334</v>
      </c>
      <c r="H2812">
        <v>22</v>
      </c>
      <c r="I2812">
        <v>0</v>
      </c>
      <c r="M2812">
        <v>0</v>
      </c>
      <c r="N2812">
        <v>0</v>
      </c>
      <c r="O2812">
        <v>2</v>
      </c>
      <c r="P2812">
        <v>24</v>
      </c>
      <c r="Q2812">
        <v>11</v>
      </c>
      <c r="R2812">
        <v>11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11</v>
      </c>
      <c r="Z2812">
        <v>6</v>
      </c>
      <c r="AA2812">
        <v>0</v>
      </c>
      <c r="AC2812">
        <v>41</v>
      </c>
    </row>
    <row r="2813" spans="1:29">
      <c r="A2813">
        <v>2806</v>
      </c>
      <c r="B2813">
        <v>1842</v>
      </c>
      <c r="C2813" t="s">
        <v>5939</v>
      </c>
      <c r="D2813" t="s">
        <v>261</v>
      </c>
      <c r="E2813" t="s">
        <v>115</v>
      </c>
      <c r="F2813" t="s">
        <v>5940</v>
      </c>
      <c r="G2813" t="str">
        <f>"00533491"</f>
        <v>00533491</v>
      </c>
      <c r="H2813">
        <v>0</v>
      </c>
      <c r="I2813">
        <v>10</v>
      </c>
      <c r="M2813">
        <v>0</v>
      </c>
      <c r="N2813">
        <v>4</v>
      </c>
      <c r="O2813">
        <v>0</v>
      </c>
      <c r="P2813">
        <v>14</v>
      </c>
      <c r="Q2813">
        <v>21</v>
      </c>
      <c r="R2813">
        <v>21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21</v>
      </c>
      <c r="Z2813">
        <v>6</v>
      </c>
      <c r="AA2813">
        <v>0</v>
      </c>
      <c r="AC2813">
        <v>41</v>
      </c>
    </row>
    <row r="2814" spans="1:29">
      <c r="A2814">
        <v>2807</v>
      </c>
      <c r="B2814">
        <v>2604</v>
      </c>
      <c r="C2814" t="s">
        <v>5941</v>
      </c>
      <c r="D2814" t="s">
        <v>164</v>
      </c>
      <c r="E2814" t="s">
        <v>322</v>
      </c>
      <c r="F2814" t="s">
        <v>5942</v>
      </c>
      <c r="G2814" t="str">
        <f>"201511043159"</f>
        <v>201511043159</v>
      </c>
      <c r="H2814">
        <v>38</v>
      </c>
      <c r="I2814">
        <v>0</v>
      </c>
      <c r="M2814">
        <v>0</v>
      </c>
      <c r="N2814">
        <v>0</v>
      </c>
      <c r="O2814">
        <v>0</v>
      </c>
      <c r="P2814">
        <v>38</v>
      </c>
      <c r="Q2814">
        <v>0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0</v>
      </c>
      <c r="Z2814">
        <v>3</v>
      </c>
      <c r="AA2814">
        <v>0</v>
      </c>
      <c r="AC2814">
        <v>41</v>
      </c>
    </row>
    <row r="2815" spans="1:29">
      <c r="A2815">
        <v>2808</v>
      </c>
      <c r="B2815">
        <v>3433</v>
      </c>
      <c r="C2815" t="s">
        <v>5943</v>
      </c>
      <c r="D2815" t="s">
        <v>185</v>
      </c>
      <c r="E2815" t="s">
        <v>66</v>
      </c>
      <c r="F2815" t="s">
        <v>5944</v>
      </c>
      <c r="G2815" t="str">
        <f>"201511018010"</f>
        <v>201511018010</v>
      </c>
      <c r="H2815">
        <v>36</v>
      </c>
      <c r="I2815">
        <v>0</v>
      </c>
      <c r="M2815">
        <v>0</v>
      </c>
      <c r="N2815">
        <v>0</v>
      </c>
      <c r="O2815">
        <v>2</v>
      </c>
      <c r="P2815">
        <v>38</v>
      </c>
      <c r="Q2815">
        <v>0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0</v>
      </c>
      <c r="Y2815">
        <v>0</v>
      </c>
      <c r="Z2815">
        <v>3</v>
      </c>
      <c r="AA2815">
        <v>0</v>
      </c>
      <c r="AC2815">
        <v>41</v>
      </c>
    </row>
    <row r="2816" spans="1:29">
      <c r="A2816">
        <v>2809</v>
      </c>
      <c r="B2816">
        <v>1618</v>
      </c>
      <c r="C2816" t="s">
        <v>5945</v>
      </c>
      <c r="D2816" t="s">
        <v>175</v>
      </c>
      <c r="E2816" t="s">
        <v>337</v>
      </c>
      <c r="F2816" t="s">
        <v>5946</v>
      </c>
      <c r="G2816" t="str">
        <f>"00557688"</f>
        <v>00557688</v>
      </c>
      <c r="H2816">
        <v>34</v>
      </c>
      <c r="I2816">
        <v>0</v>
      </c>
      <c r="M2816">
        <v>0</v>
      </c>
      <c r="N2816">
        <v>0</v>
      </c>
      <c r="O2816">
        <v>2</v>
      </c>
      <c r="P2816">
        <v>36</v>
      </c>
      <c r="Q2816">
        <v>5</v>
      </c>
      <c r="R2816">
        <v>5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5</v>
      </c>
      <c r="Z2816">
        <v>0</v>
      </c>
      <c r="AA2816">
        <v>0</v>
      </c>
      <c r="AC2816">
        <v>41</v>
      </c>
    </row>
    <row r="2817" spans="1:29">
      <c r="A2817">
        <v>2810</v>
      </c>
      <c r="B2817">
        <v>4290</v>
      </c>
      <c r="C2817" t="s">
        <v>5947</v>
      </c>
      <c r="D2817" t="s">
        <v>4963</v>
      </c>
      <c r="E2817" t="s">
        <v>21</v>
      </c>
      <c r="F2817" t="s">
        <v>5948</v>
      </c>
      <c r="G2817" t="str">
        <f>"00477750"</f>
        <v>00477750</v>
      </c>
      <c r="H2817">
        <v>22.92</v>
      </c>
      <c r="I2817">
        <v>10</v>
      </c>
      <c r="M2817">
        <v>0</v>
      </c>
      <c r="N2817">
        <v>4</v>
      </c>
      <c r="O2817">
        <v>0</v>
      </c>
      <c r="P2817">
        <v>36.92</v>
      </c>
      <c r="Q2817">
        <v>1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1</v>
      </c>
      <c r="Z2817">
        <v>3</v>
      </c>
      <c r="AA2817">
        <v>0</v>
      </c>
      <c r="AC2817">
        <v>40.92</v>
      </c>
    </row>
    <row r="2818" spans="1:29">
      <c r="A2818">
        <v>2811</v>
      </c>
      <c r="B2818">
        <v>3434</v>
      </c>
      <c r="C2818" t="s">
        <v>5949</v>
      </c>
      <c r="D2818" t="s">
        <v>5950</v>
      </c>
      <c r="E2818" t="s">
        <v>89</v>
      </c>
      <c r="F2818" t="s">
        <v>5951</v>
      </c>
      <c r="G2818" t="str">
        <f>"00355621"</f>
        <v>00355621</v>
      </c>
      <c r="H2818">
        <v>34.799999999999997</v>
      </c>
      <c r="I2818">
        <v>0</v>
      </c>
      <c r="M2818">
        <v>0</v>
      </c>
      <c r="N2818">
        <v>0</v>
      </c>
      <c r="O2818">
        <v>0</v>
      </c>
      <c r="P2818">
        <v>34.799999999999997</v>
      </c>
      <c r="Q2818">
        <v>0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0</v>
      </c>
      <c r="Z2818">
        <v>6</v>
      </c>
      <c r="AA2818">
        <v>0</v>
      </c>
      <c r="AC2818">
        <v>40.799999999999997</v>
      </c>
    </row>
    <row r="2819" spans="1:29">
      <c r="A2819">
        <v>2812</v>
      </c>
      <c r="B2819">
        <v>3631</v>
      </c>
      <c r="C2819" t="s">
        <v>5952</v>
      </c>
      <c r="D2819" t="s">
        <v>52</v>
      </c>
      <c r="E2819" t="s">
        <v>15</v>
      </c>
      <c r="F2819" t="s">
        <v>5953</v>
      </c>
      <c r="G2819" t="str">
        <f>"00861287"</f>
        <v>00861287</v>
      </c>
      <c r="H2819">
        <v>28.8</v>
      </c>
      <c r="I2819">
        <v>0</v>
      </c>
      <c r="M2819">
        <v>0</v>
      </c>
      <c r="N2819">
        <v>4</v>
      </c>
      <c r="O2819">
        <v>2</v>
      </c>
      <c r="P2819">
        <v>34.799999999999997</v>
      </c>
      <c r="Q2819">
        <v>0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0</v>
      </c>
      <c r="Z2819">
        <v>6</v>
      </c>
      <c r="AA2819">
        <v>0</v>
      </c>
      <c r="AC2819">
        <v>40.799999999999997</v>
      </c>
    </row>
    <row r="2820" spans="1:29">
      <c r="A2820">
        <v>2813</v>
      </c>
      <c r="B2820">
        <v>1035</v>
      </c>
      <c r="C2820" t="s">
        <v>5954</v>
      </c>
      <c r="D2820" t="s">
        <v>27</v>
      </c>
      <c r="E2820" t="s">
        <v>79</v>
      </c>
      <c r="F2820" t="s">
        <v>5955</v>
      </c>
      <c r="G2820" t="str">
        <f>"00857768"</f>
        <v>00857768</v>
      </c>
      <c r="H2820">
        <v>28.8</v>
      </c>
      <c r="I2820">
        <v>0</v>
      </c>
      <c r="M2820">
        <v>0</v>
      </c>
      <c r="N2820">
        <v>4</v>
      </c>
      <c r="O2820">
        <v>2</v>
      </c>
      <c r="P2820">
        <v>34.799999999999997</v>
      </c>
      <c r="Q2820">
        <v>0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v>6</v>
      </c>
      <c r="AA2820">
        <v>0</v>
      </c>
      <c r="AC2820">
        <v>40.799999999999997</v>
      </c>
    </row>
    <row r="2821" spans="1:29">
      <c r="A2821">
        <v>2814</v>
      </c>
      <c r="B2821">
        <v>630</v>
      </c>
      <c r="C2821" t="s">
        <v>3374</v>
      </c>
      <c r="D2821" t="s">
        <v>784</v>
      </c>
      <c r="E2821" t="s">
        <v>60</v>
      </c>
      <c r="F2821" t="s">
        <v>5956</v>
      </c>
      <c r="G2821" t="str">
        <f>"00857611"</f>
        <v>00857611</v>
      </c>
      <c r="H2821">
        <v>36.799999999999997</v>
      </c>
      <c r="I2821">
        <v>0</v>
      </c>
      <c r="L2821">
        <v>4</v>
      </c>
      <c r="M2821">
        <v>4</v>
      </c>
      <c r="N2821">
        <v>0</v>
      </c>
      <c r="O2821">
        <v>0</v>
      </c>
      <c r="P2821">
        <v>40.799999999999997</v>
      </c>
      <c r="Q2821">
        <v>0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0</v>
      </c>
      <c r="Z2821">
        <v>0</v>
      </c>
      <c r="AA2821">
        <v>0</v>
      </c>
      <c r="AC2821">
        <v>40.799999999999997</v>
      </c>
    </row>
    <row r="2822" spans="1:29">
      <c r="A2822">
        <v>2815</v>
      </c>
      <c r="B2822">
        <v>2248</v>
      </c>
      <c r="C2822" t="s">
        <v>5959</v>
      </c>
      <c r="D2822" t="s">
        <v>79</v>
      </c>
      <c r="E2822" t="s">
        <v>796</v>
      </c>
      <c r="F2822" t="s">
        <v>5960</v>
      </c>
      <c r="G2822" t="str">
        <f>"00791989"</f>
        <v>00791989</v>
      </c>
      <c r="H2822">
        <v>36.799999999999997</v>
      </c>
      <c r="I2822">
        <v>0</v>
      </c>
      <c r="M2822">
        <v>0</v>
      </c>
      <c r="N2822">
        <v>4</v>
      </c>
      <c r="O2822">
        <v>0</v>
      </c>
      <c r="P2822">
        <v>40.799999999999997</v>
      </c>
      <c r="Q2822">
        <v>0</v>
      </c>
      <c r="R2822">
        <v>0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0</v>
      </c>
      <c r="Y2822">
        <v>0</v>
      </c>
      <c r="Z2822">
        <v>0</v>
      </c>
      <c r="AA2822">
        <v>0</v>
      </c>
      <c r="AC2822">
        <v>40.799999999999997</v>
      </c>
    </row>
    <row r="2823" spans="1:29">
      <c r="A2823">
        <v>2816</v>
      </c>
      <c r="B2823">
        <v>4890</v>
      </c>
      <c r="C2823" t="s">
        <v>5336</v>
      </c>
      <c r="D2823" t="s">
        <v>159</v>
      </c>
      <c r="E2823" t="s">
        <v>21</v>
      </c>
      <c r="F2823" t="s">
        <v>5957</v>
      </c>
      <c r="G2823" t="str">
        <f>"201512000544"</f>
        <v>201512000544</v>
      </c>
      <c r="H2823">
        <v>36.799999999999997</v>
      </c>
      <c r="I2823">
        <v>0</v>
      </c>
      <c r="M2823">
        <v>0</v>
      </c>
      <c r="N2823">
        <v>4</v>
      </c>
      <c r="O2823">
        <v>0</v>
      </c>
      <c r="P2823">
        <v>40.799999999999997</v>
      </c>
      <c r="Q2823">
        <v>0</v>
      </c>
      <c r="R2823">
        <v>0</v>
      </c>
      <c r="S2823">
        <v>0</v>
      </c>
      <c r="T2823">
        <v>0</v>
      </c>
      <c r="U2823">
        <v>0</v>
      </c>
      <c r="V2823">
        <v>0</v>
      </c>
      <c r="W2823">
        <v>0</v>
      </c>
      <c r="X2823">
        <v>0</v>
      </c>
      <c r="Y2823">
        <v>0</v>
      </c>
      <c r="Z2823">
        <v>0</v>
      </c>
      <c r="AA2823">
        <v>0</v>
      </c>
      <c r="AC2823">
        <v>40.799999999999997</v>
      </c>
    </row>
    <row r="2824" spans="1:29">
      <c r="A2824">
        <v>2817</v>
      </c>
      <c r="B2824">
        <v>4689</v>
      </c>
      <c r="C2824" t="s">
        <v>2369</v>
      </c>
      <c r="D2824" t="s">
        <v>159</v>
      </c>
      <c r="E2824" t="s">
        <v>2589</v>
      </c>
      <c r="F2824" t="s">
        <v>5958</v>
      </c>
      <c r="G2824" t="str">
        <f>"00726907"</f>
        <v>00726907</v>
      </c>
      <c r="H2824">
        <v>36.799999999999997</v>
      </c>
      <c r="I2824">
        <v>0</v>
      </c>
      <c r="M2824">
        <v>0</v>
      </c>
      <c r="N2824">
        <v>4</v>
      </c>
      <c r="O2824">
        <v>0</v>
      </c>
      <c r="P2824">
        <v>40.799999999999997</v>
      </c>
      <c r="Q2824">
        <v>0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0</v>
      </c>
      <c r="Z2824">
        <v>0</v>
      </c>
      <c r="AA2824">
        <v>0</v>
      </c>
      <c r="AC2824">
        <v>40.799999999999997</v>
      </c>
    </row>
    <row r="2825" spans="1:29">
      <c r="A2825">
        <v>2818</v>
      </c>
      <c r="B2825">
        <v>3704</v>
      </c>
      <c r="C2825" t="s">
        <v>5961</v>
      </c>
      <c r="D2825" t="s">
        <v>31</v>
      </c>
      <c r="E2825" t="s">
        <v>237</v>
      </c>
      <c r="F2825" t="s">
        <v>5962</v>
      </c>
      <c r="G2825" t="str">
        <f>"00861913"</f>
        <v>00861913</v>
      </c>
      <c r="H2825">
        <v>32.799999999999997</v>
      </c>
      <c r="I2825">
        <v>0</v>
      </c>
      <c r="L2825">
        <v>4</v>
      </c>
      <c r="M2825">
        <v>4</v>
      </c>
      <c r="N2825">
        <v>4</v>
      </c>
      <c r="O2825">
        <v>0</v>
      </c>
      <c r="P2825">
        <v>40.799999999999997</v>
      </c>
      <c r="Q2825">
        <v>0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0</v>
      </c>
      <c r="Z2825">
        <v>0</v>
      </c>
      <c r="AA2825">
        <v>0</v>
      </c>
      <c r="AC2825">
        <v>40.799999999999997</v>
      </c>
    </row>
    <row r="2826" spans="1:29">
      <c r="A2826">
        <v>2819</v>
      </c>
      <c r="B2826">
        <v>3982</v>
      </c>
      <c r="C2826" t="s">
        <v>5963</v>
      </c>
      <c r="D2826" t="s">
        <v>5964</v>
      </c>
      <c r="E2826" t="s">
        <v>156</v>
      </c>
      <c r="F2826" t="s">
        <v>5965</v>
      </c>
      <c r="G2826" t="str">
        <f>"00864115"</f>
        <v>00864115</v>
      </c>
      <c r="H2826">
        <v>30.8</v>
      </c>
      <c r="I2826">
        <v>0</v>
      </c>
      <c r="L2826">
        <v>4</v>
      </c>
      <c r="M2826">
        <v>4</v>
      </c>
      <c r="N2826">
        <v>4</v>
      </c>
      <c r="O2826">
        <v>2</v>
      </c>
      <c r="P2826">
        <v>40.799999999999997</v>
      </c>
      <c r="Q2826">
        <v>0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0</v>
      </c>
      <c r="Y2826">
        <v>0</v>
      </c>
      <c r="Z2826">
        <v>0</v>
      </c>
      <c r="AA2826">
        <v>0</v>
      </c>
      <c r="AC2826">
        <v>40.799999999999997</v>
      </c>
    </row>
    <row r="2827" spans="1:29">
      <c r="A2827">
        <v>2820</v>
      </c>
      <c r="B2827">
        <v>4083</v>
      </c>
      <c r="C2827" t="s">
        <v>5966</v>
      </c>
      <c r="D2827" t="s">
        <v>4052</v>
      </c>
      <c r="E2827" t="s">
        <v>36</v>
      </c>
      <c r="F2827" t="s">
        <v>5967</v>
      </c>
      <c r="G2827" t="str">
        <f>"00577299"</f>
        <v>00577299</v>
      </c>
      <c r="H2827">
        <v>28.8</v>
      </c>
      <c r="I2827">
        <v>0</v>
      </c>
      <c r="J2827">
        <v>8</v>
      </c>
      <c r="M2827">
        <v>8</v>
      </c>
      <c r="N2827">
        <v>4</v>
      </c>
      <c r="O2827">
        <v>0</v>
      </c>
      <c r="P2827">
        <v>40.799999999999997</v>
      </c>
      <c r="Q2827">
        <v>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0</v>
      </c>
      <c r="Z2827">
        <v>0</v>
      </c>
      <c r="AA2827">
        <v>0</v>
      </c>
      <c r="AC2827">
        <v>40.799999999999997</v>
      </c>
    </row>
    <row r="2828" spans="1:29">
      <c r="A2828">
        <v>2821</v>
      </c>
      <c r="B2828">
        <v>849</v>
      </c>
      <c r="C2828" t="s">
        <v>5968</v>
      </c>
      <c r="D2828" t="s">
        <v>784</v>
      </c>
      <c r="E2828" t="s">
        <v>5644</v>
      </c>
      <c r="F2828" t="s">
        <v>5969</v>
      </c>
      <c r="G2828" t="str">
        <f>"00532006"</f>
        <v>00532006</v>
      </c>
      <c r="H2828">
        <v>28.8</v>
      </c>
      <c r="I2828">
        <v>0</v>
      </c>
      <c r="J2828">
        <v>8</v>
      </c>
      <c r="M2828">
        <v>8</v>
      </c>
      <c r="N2828">
        <v>4</v>
      </c>
      <c r="O2828">
        <v>0</v>
      </c>
      <c r="P2828">
        <v>40.799999999999997</v>
      </c>
      <c r="Q2828">
        <v>0</v>
      </c>
      <c r="R2828">
        <v>0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0</v>
      </c>
      <c r="Y2828">
        <v>0</v>
      </c>
      <c r="Z2828">
        <v>0</v>
      </c>
      <c r="AA2828">
        <v>0</v>
      </c>
      <c r="AC2828">
        <v>40.799999999999997</v>
      </c>
    </row>
    <row r="2829" spans="1:29">
      <c r="A2829">
        <v>2822</v>
      </c>
      <c r="B2829">
        <v>3067</v>
      </c>
      <c r="C2829" t="s">
        <v>5978</v>
      </c>
      <c r="D2829" t="s">
        <v>98</v>
      </c>
      <c r="E2829" t="s">
        <v>66</v>
      </c>
      <c r="F2829" t="s">
        <v>5979</v>
      </c>
      <c r="G2829" t="str">
        <f>"00864081"</f>
        <v>00864081</v>
      </c>
      <c r="H2829">
        <v>28.8</v>
      </c>
      <c r="I2829">
        <v>0</v>
      </c>
      <c r="J2829">
        <v>8</v>
      </c>
      <c r="M2829">
        <v>8</v>
      </c>
      <c r="N2829">
        <v>4</v>
      </c>
      <c r="O2829">
        <v>0</v>
      </c>
      <c r="P2829">
        <v>40.799999999999997</v>
      </c>
      <c r="Q2829">
        <v>0</v>
      </c>
      <c r="R2829">
        <v>0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0</v>
      </c>
      <c r="Z2829">
        <v>0</v>
      </c>
      <c r="AA2829">
        <v>0</v>
      </c>
      <c r="AC2829">
        <v>40.799999999999997</v>
      </c>
    </row>
    <row r="2830" spans="1:29">
      <c r="A2830">
        <v>2823</v>
      </c>
      <c r="B2830">
        <v>948</v>
      </c>
      <c r="C2830" t="s">
        <v>5976</v>
      </c>
      <c r="D2830" t="s">
        <v>164</v>
      </c>
      <c r="E2830" t="s">
        <v>79</v>
      </c>
      <c r="F2830" t="s">
        <v>5977</v>
      </c>
      <c r="G2830" t="str">
        <f>"00855603"</f>
        <v>00855603</v>
      </c>
      <c r="H2830">
        <v>28.8</v>
      </c>
      <c r="I2830">
        <v>0</v>
      </c>
      <c r="K2830">
        <v>6</v>
      </c>
      <c r="M2830">
        <v>6</v>
      </c>
      <c r="N2830">
        <v>4</v>
      </c>
      <c r="O2830">
        <v>2</v>
      </c>
      <c r="P2830">
        <v>40.799999999999997</v>
      </c>
      <c r="Q2830">
        <v>0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v>0</v>
      </c>
      <c r="AA2830">
        <v>0</v>
      </c>
      <c r="AC2830">
        <v>40.799999999999997</v>
      </c>
    </row>
    <row r="2831" spans="1:29">
      <c r="A2831">
        <v>2824</v>
      </c>
      <c r="B2831">
        <v>4638</v>
      </c>
      <c r="C2831" t="s">
        <v>4199</v>
      </c>
      <c r="D2831" t="s">
        <v>31</v>
      </c>
      <c r="E2831" t="s">
        <v>15</v>
      </c>
      <c r="F2831" t="s">
        <v>5981</v>
      </c>
      <c r="G2831" t="str">
        <f>"00317695"</f>
        <v>00317695</v>
      </c>
      <c r="H2831">
        <v>28.8</v>
      </c>
      <c r="I2831">
        <v>0</v>
      </c>
      <c r="K2831">
        <v>6</v>
      </c>
      <c r="M2831">
        <v>6</v>
      </c>
      <c r="N2831">
        <v>4</v>
      </c>
      <c r="O2831">
        <v>2</v>
      </c>
      <c r="P2831">
        <v>40.799999999999997</v>
      </c>
      <c r="Q2831">
        <v>0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0</v>
      </c>
      <c r="Z2831">
        <v>0</v>
      </c>
      <c r="AA2831">
        <v>0</v>
      </c>
      <c r="AC2831">
        <v>40.799999999999997</v>
      </c>
    </row>
    <row r="2832" spans="1:29">
      <c r="A2832">
        <v>2825</v>
      </c>
      <c r="B2832">
        <v>7</v>
      </c>
      <c r="C2832" t="s">
        <v>5973</v>
      </c>
      <c r="D2832" t="s">
        <v>5974</v>
      </c>
      <c r="E2832" t="s">
        <v>533</v>
      </c>
      <c r="F2832" t="s">
        <v>5975</v>
      </c>
      <c r="G2832" t="str">
        <f>"201411002567"</f>
        <v>201411002567</v>
      </c>
      <c r="H2832">
        <v>28.8</v>
      </c>
      <c r="I2832">
        <v>0</v>
      </c>
      <c r="J2832">
        <v>8</v>
      </c>
      <c r="M2832">
        <v>8</v>
      </c>
      <c r="N2832">
        <v>4</v>
      </c>
      <c r="O2832">
        <v>0</v>
      </c>
      <c r="P2832">
        <v>40.799999999999997</v>
      </c>
      <c r="Q2832">
        <v>0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0</v>
      </c>
      <c r="Z2832">
        <v>0</v>
      </c>
      <c r="AA2832">
        <v>0</v>
      </c>
      <c r="AC2832">
        <v>40.799999999999997</v>
      </c>
    </row>
    <row r="2833" spans="1:29">
      <c r="A2833">
        <v>2826</v>
      </c>
      <c r="B2833">
        <v>3954</v>
      </c>
      <c r="C2833" t="s">
        <v>571</v>
      </c>
      <c r="D2833" t="s">
        <v>349</v>
      </c>
      <c r="E2833" t="s">
        <v>134</v>
      </c>
      <c r="F2833" t="s">
        <v>5980</v>
      </c>
      <c r="G2833" t="str">
        <f>"00560750"</f>
        <v>00560750</v>
      </c>
      <c r="H2833">
        <v>28.8</v>
      </c>
      <c r="I2833">
        <v>10</v>
      </c>
      <c r="M2833">
        <v>0</v>
      </c>
      <c r="N2833">
        <v>0</v>
      </c>
      <c r="O2833">
        <v>2</v>
      </c>
      <c r="P2833">
        <v>40.799999999999997</v>
      </c>
      <c r="Q2833">
        <v>0</v>
      </c>
      <c r="R2833">
        <v>0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0</v>
      </c>
      <c r="Z2833">
        <v>0</v>
      </c>
      <c r="AA2833">
        <v>0</v>
      </c>
      <c r="AC2833">
        <v>40.799999999999997</v>
      </c>
    </row>
    <row r="2834" spans="1:29">
      <c r="A2834">
        <v>2827</v>
      </c>
      <c r="B2834">
        <v>3168</v>
      </c>
      <c r="C2834" t="s">
        <v>2963</v>
      </c>
      <c r="D2834" t="s">
        <v>5971</v>
      </c>
      <c r="E2834" t="s">
        <v>18</v>
      </c>
      <c r="F2834" t="s">
        <v>5972</v>
      </c>
      <c r="G2834" t="str">
        <f>"00864066"</f>
        <v>00864066</v>
      </c>
      <c r="H2834">
        <v>28.8</v>
      </c>
      <c r="I2834">
        <v>0</v>
      </c>
      <c r="J2834">
        <v>8</v>
      </c>
      <c r="M2834">
        <v>8</v>
      </c>
      <c r="N2834">
        <v>4</v>
      </c>
      <c r="O2834">
        <v>0</v>
      </c>
      <c r="P2834">
        <v>40.799999999999997</v>
      </c>
      <c r="Q2834">
        <v>0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0</v>
      </c>
      <c r="Z2834">
        <v>0</v>
      </c>
      <c r="AA2834">
        <v>0</v>
      </c>
      <c r="AC2834">
        <v>40.799999999999997</v>
      </c>
    </row>
    <row r="2835" spans="1:29">
      <c r="A2835">
        <v>2828</v>
      </c>
      <c r="B2835">
        <v>2132</v>
      </c>
      <c r="C2835" t="s">
        <v>2411</v>
      </c>
      <c r="D2835" t="s">
        <v>185</v>
      </c>
      <c r="E2835" t="s">
        <v>79</v>
      </c>
      <c r="F2835" t="s">
        <v>5970</v>
      </c>
      <c r="G2835" t="str">
        <f>"201511019763"</f>
        <v>201511019763</v>
      </c>
      <c r="H2835">
        <v>28.8</v>
      </c>
      <c r="I2835">
        <v>0</v>
      </c>
      <c r="J2835">
        <v>8</v>
      </c>
      <c r="M2835">
        <v>8</v>
      </c>
      <c r="N2835">
        <v>4</v>
      </c>
      <c r="O2835">
        <v>0</v>
      </c>
      <c r="P2835">
        <v>40.799999999999997</v>
      </c>
      <c r="Q2835">
        <v>0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0</v>
      </c>
      <c r="Z2835">
        <v>0</v>
      </c>
      <c r="AA2835">
        <v>0</v>
      </c>
      <c r="AC2835">
        <v>40.799999999999997</v>
      </c>
    </row>
    <row r="2836" spans="1:29">
      <c r="A2836">
        <v>2829</v>
      </c>
      <c r="B2836">
        <v>3088</v>
      </c>
      <c r="C2836" t="s">
        <v>453</v>
      </c>
      <c r="D2836" t="s">
        <v>164</v>
      </c>
      <c r="E2836" t="s">
        <v>156</v>
      </c>
      <c r="F2836" t="s">
        <v>5982</v>
      </c>
      <c r="G2836" t="str">
        <f>"00599006"</f>
        <v>00599006</v>
      </c>
      <c r="H2836">
        <v>21.8</v>
      </c>
      <c r="I2836">
        <v>0</v>
      </c>
      <c r="M2836">
        <v>0</v>
      </c>
      <c r="N2836">
        <v>4</v>
      </c>
      <c r="O2836">
        <v>2</v>
      </c>
      <c r="P2836">
        <v>27.8</v>
      </c>
      <c r="Q2836">
        <v>13</v>
      </c>
      <c r="R2836">
        <v>13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13</v>
      </c>
      <c r="Z2836">
        <v>0</v>
      </c>
      <c r="AA2836">
        <v>0</v>
      </c>
      <c r="AC2836">
        <v>40.799999999999997</v>
      </c>
    </row>
    <row r="2837" spans="1:29">
      <c r="A2837">
        <v>2830</v>
      </c>
      <c r="B2837">
        <v>2576</v>
      </c>
      <c r="C2837" t="s">
        <v>3209</v>
      </c>
      <c r="D2837" t="s">
        <v>205</v>
      </c>
      <c r="E2837" t="s">
        <v>165</v>
      </c>
      <c r="F2837" t="s">
        <v>5983</v>
      </c>
      <c r="G2837" t="str">
        <f>"00530106"</f>
        <v>00530106</v>
      </c>
      <c r="H2837">
        <v>21.6</v>
      </c>
      <c r="I2837">
        <v>0</v>
      </c>
      <c r="M2837">
        <v>0</v>
      </c>
      <c r="N2837">
        <v>4</v>
      </c>
      <c r="O2837">
        <v>2</v>
      </c>
      <c r="P2837">
        <v>27.6</v>
      </c>
      <c r="Q2837">
        <v>7</v>
      </c>
      <c r="R2837">
        <v>7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0</v>
      </c>
      <c r="Y2837">
        <v>7</v>
      </c>
      <c r="Z2837">
        <v>6</v>
      </c>
      <c r="AA2837">
        <v>0</v>
      </c>
      <c r="AC2837">
        <v>40.6</v>
      </c>
    </row>
    <row r="2838" spans="1:29">
      <c r="A2838">
        <v>2831</v>
      </c>
      <c r="B2838">
        <v>959</v>
      </c>
      <c r="C2838" t="s">
        <v>5984</v>
      </c>
      <c r="D2838" t="s">
        <v>164</v>
      </c>
      <c r="E2838" t="s">
        <v>79</v>
      </c>
      <c r="F2838" t="s">
        <v>5985</v>
      </c>
      <c r="G2838" t="str">
        <f>"00858563"</f>
        <v>00858563</v>
      </c>
      <c r="H2838">
        <v>33.6</v>
      </c>
      <c r="I2838">
        <v>0</v>
      </c>
      <c r="M2838">
        <v>0</v>
      </c>
      <c r="N2838">
        <v>4</v>
      </c>
      <c r="O2838">
        <v>0</v>
      </c>
      <c r="P2838">
        <v>37.6</v>
      </c>
      <c r="Q2838">
        <v>0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  <c r="Y2838">
        <v>0</v>
      </c>
      <c r="Z2838">
        <v>3</v>
      </c>
      <c r="AA2838">
        <v>0</v>
      </c>
      <c r="AC2838">
        <v>40.6</v>
      </c>
    </row>
    <row r="2839" spans="1:29">
      <c r="A2839">
        <v>2832</v>
      </c>
      <c r="B2839">
        <v>4614</v>
      </c>
      <c r="C2839" t="s">
        <v>4636</v>
      </c>
      <c r="D2839" t="s">
        <v>216</v>
      </c>
      <c r="E2839" t="s">
        <v>79</v>
      </c>
      <c r="F2839" t="s">
        <v>5986</v>
      </c>
      <c r="G2839" t="str">
        <f>"00484861"</f>
        <v>00484861</v>
      </c>
      <c r="H2839">
        <v>21.6</v>
      </c>
      <c r="I2839">
        <v>0</v>
      </c>
      <c r="L2839">
        <v>4</v>
      </c>
      <c r="M2839">
        <v>4</v>
      </c>
      <c r="N2839">
        <v>0</v>
      </c>
      <c r="O2839">
        <v>0</v>
      </c>
      <c r="P2839">
        <v>25.6</v>
      </c>
      <c r="Q2839">
        <v>12</v>
      </c>
      <c r="R2839">
        <v>12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0</v>
      </c>
      <c r="Y2839">
        <v>12</v>
      </c>
      <c r="Z2839">
        <v>3</v>
      </c>
      <c r="AA2839">
        <v>0</v>
      </c>
      <c r="AC2839">
        <v>40.6</v>
      </c>
    </row>
    <row r="2840" spans="1:29">
      <c r="A2840">
        <v>2833</v>
      </c>
      <c r="B2840">
        <v>3708</v>
      </c>
      <c r="C2840" t="s">
        <v>5987</v>
      </c>
      <c r="D2840" t="s">
        <v>89</v>
      </c>
      <c r="E2840" t="s">
        <v>122</v>
      </c>
      <c r="F2840" t="s">
        <v>5988</v>
      </c>
      <c r="G2840" t="str">
        <f>"00501187"</f>
        <v>00501187</v>
      </c>
      <c r="H2840">
        <v>21.6</v>
      </c>
      <c r="I2840">
        <v>0</v>
      </c>
      <c r="J2840">
        <v>8</v>
      </c>
      <c r="M2840">
        <v>8</v>
      </c>
      <c r="N2840">
        <v>4</v>
      </c>
      <c r="O2840">
        <v>0</v>
      </c>
      <c r="P2840">
        <v>33.6</v>
      </c>
      <c r="Q2840">
        <v>7</v>
      </c>
      <c r="R2840">
        <v>7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7</v>
      </c>
      <c r="Z2840">
        <v>0</v>
      </c>
      <c r="AA2840">
        <v>0</v>
      </c>
      <c r="AC2840">
        <v>40.6</v>
      </c>
    </row>
    <row r="2841" spans="1:29">
      <c r="A2841">
        <v>2834</v>
      </c>
      <c r="B2841">
        <v>4794</v>
      </c>
      <c r="C2841" t="s">
        <v>5989</v>
      </c>
      <c r="D2841" t="s">
        <v>108</v>
      </c>
      <c r="E2841" t="s">
        <v>15</v>
      </c>
      <c r="F2841" t="s">
        <v>5990</v>
      </c>
      <c r="G2841" t="str">
        <f>"00527394"</f>
        <v>00527394</v>
      </c>
      <c r="H2841">
        <v>23.6</v>
      </c>
      <c r="I2841">
        <v>0</v>
      </c>
      <c r="M2841">
        <v>0</v>
      </c>
      <c r="N2841">
        <v>0</v>
      </c>
      <c r="O2841">
        <v>0</v>
      </c>
      <c r="P2841">
        <v>23.6</v>
      </c>
      <c r="Q2841">
        <v>17</v>
      </c>
      <c r="R2841">
        <v>17</v>
      </c>
      <c r="S2841">
        <v>0</v>
      </c>
      <c r="T2841">
        <v>0</v>
      </c>
      <c r="U2841">
        <v>0</v>
      </c>
      <c r="V2841">
        <v>0</v>
      </c>
      <c r="W2841">
        <v>0</v>
      </c>
      <c r="X2841">
        <v>0</v>
      </c>
      <c r="Y2841">
        <v>17</v>
      </c>
      <c r="Z2841">
        <v>0</v>
      </c>
      <c r="AA2841">
        <v>0</v>
      </c>
      <c r="AC2841">
        <v>40.6</v>
      </c>
    </row>
    <row r="2842" spans="1:29">
      <c r="A2842">
        <v>2835</v>
      </c>
      <c r="B2842">
        <v>1883</v>
      </c>
      <c r="C2842" t="s">
        <v>5991</v>
      </c>
      <c r="D2842" t="s">
        <v>5992</v>
      </c>
      <c r="E2842" t="s">
        <v>66</v>
      </c>
      <c r="F2842" t="s">
        <v>5993</v>
      </c>
      <c r="G2842" t="str">
        <f>"00712560"</f>
        <v>00712560</v>
      </c>
      <c r="H2842">
        <v>20.56</v>
      </c>
      <c r="I2842">
        <v>10</v>
      </c>
      <c r="M2842">
        <v>0</v>
      </c>
      <c r="N2842">
        <v>4</v>
      </c>
      <c r="O2842">
        <v>0</v>
      </c>
      <c r="P2842">
        <v>34.56</v>
      </c>
      <c r="Q2842">
        <v>0</v>
      </c>
      <c r="R2842">
        <v>0</v>
      </c>
      <c r="S2842">
        <v>0</v>
      </c>
      <c r="T2842">
        <v>0</v>
      </c>
      <c r="U2842">
        <v>0</v>
      </c>
      <c r="V2842">
        <v>0</v>
      </c>
      <c r="W2842">
        <v>0</v>
      </c>
      <c r="X2842">
        <v>0</v>
      </c>
      <c r="Y2842">
        <v>0</v>
      </c>
      <c r="Z2842">
        <v>6</v>
      </c>
      <c r="AA2842">
        <v>0</v>
      </c>
      <c r="AC2842">
        <v>40.56</v>
      </c>
    </row>
    <row r="2843" spans="1:29">
      <c r="A2843">
        <v>2836</v>
      </c>
      <c r="B2843">
        <v>3125</v>
      </c>
      <c r="C2843" t="s">
        <v>996</v>
      </c>
      <c r="D2843" t="s">
        <v>31</v>
      </c>
      <c r="E2843" t="s">
        <v>997</v>
      </c>
      <c r="F2843" t="s">
        <v>5994</v>
      </c>
      <c r="G2843" t="str">
        <f>"00862067"</f>
        <v>00862067</v>
      </c>
      <c r="H2843">
        <v>37.520000000000003</v>
      </c>
      <c r="I2843">
        <v>0</v>
      </c>
      <c r="M2843">
        <v>0</v>
      </c>
      <c r="N2843">
        <v>0</v>
      </c>
      <c r="O2843">
        <v>0</v>
      </c>
      <c r="P2843">
        <v>37.520000000000003</v>
      </c>
      <c r="Q2843">
        <v>0</v>
      </c>
      <c r="R2843">
        <v>0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0</v>
      </c>
      <c r="Y2843">
        <v>0</v>
      </c>
      <c r="Z2843">
        <v>3</v>
      </c>
      <c r="AA2843">
        <v>0</v>
      </c>
      <c r="AC2843">
        <v>40.520000000000003</v>
      </c>
    </row>
    <row r="2844" spans="1:29">
      <c r="A2844">
        <v>2837</v>
      </c>
      <c r="B2844">
        <v>2725</v>
      </c>
      <c r="C2844" t="s">
        <v>5995</v>
      </c>
      <c r="D2844" t="s">
        <v>1598</v>
      </c>
      <c r="E2844" t="s">
        <v>621</v>
      </c>
      <c r="F2844" t="s">
        <v>5996</v>
      </c>
      <c r="G2844" t="str">
        <f>"00860409"</f>
        <v>00860409</v>
      </c>
      <c r="H2844">
        <v>27.48</v>
      </c>
      <c r="I2844">
        <v>0</v>
      </c>
      <c r="M2844">
        <v>0</v>
      </c>
      <c r="N2844">
        <v>4</v>
      </c>
      <c r="O2844">
        <v>0</v>
      </c>
      <c r="P2844">
        <v>31.48</v>
      </c>
      <c r="Q2844">
        <v>0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0</v>
      </c>
      <c r="Z2844">
        <v>9</v>
      </c>
      <c r="AA2844">
        <v>0</v>
      </c>
      <c r="AC2844">
        <v>40.479999999999997</v>
      </c>
    </row>
    <row r="2845" spans="1:29">
      <c r="A2845">
        <v>2838</v>
      </c>
      <c r="B2845">
        <v>336</v>
      </c>
      <c r="C2845" t="s">
        <v>5997</v>
      </c>
      <c r="D2845" t="s">
        <v>108</v>
      </c>
      <c r="E2845" t="s">
        <v>18</v>
      </c>
      <c r="F2845" t="s">
        <v>5998</v>
      </c>
      <c r="G2845" t="str">
        <f>"00267826"</f>
        <v>00267826</v>
      </c>
      <c r="H2845">
        <v>37.44</v>
      </c>
      <c r="I2845">
        <v>0</v>
      </c>
      <c r="M2845">
        <v>0</v>
      </c>
      <c r="N2845">
        <v>0</v>
      </c>
      <c r="O2845">
        <v>0</v>
      </c>
      <c r="P2845">
        <v>37.44</v>
      </c>
      <c r="Q2845">
        <v>0</v>
      </c>
      <c r="R2845">
        <v>0</v>
      </c>
      <c r="S2845">
        <v>0</v>
      </c>
      <c r="T2845">
        <v>0</v>
      </c>
      <c r="U2845">
        <v>0</v>
      </c>
      <c r="V2845">
        <v>0</v>
      </c>
      <c r="W2845">
        <v>0</v>
      </c>
      <c r="X2845">
        <v>0</v>
      </c>
      <c r="Y2845">
        <v>0</v>
      </c>
      <c r="Z2845">
        <v>3</v>
      </c>
      <c r="AA2845">
        <v>0</v>
      </c>
      <c r="AC2845">
        <v>40.44</v>
      </c>
    </row>
    <row r="2846" spans="1:29">
      <c r="A2846">
        <v>2839</v>
      </c>
      <c r="B2846">
        <v>1873</v>
      </c>
      <c r="C2846" t="s">
        <v>5999</v>
      </c>
      <c r="D2846" t="s">
        <v>130</v>
      </c>
      <c r="E2846" t="s">
        <v>28</v>
      </c>
      <c r="F2846" t="s">
        <v>6000</v>
      </c>
      <c r="G2846" t="str">
        <f>"00688689"</f>
        <v>00688689</v>
      </c>
      <c r="H2846">
        <v>29.44</v>
      </c>
      <c r="I2846">
        <v>0</v>
      </c>
      <c r="L2846">
        <v>4</v>
      </c>
      <c r="M2846">
        <v>4</v>
      </c>
      <c r="N2846">
        <v>4</v>
      </c>
      <c r="O2846">
        <v>0</v>
      </c>
      <c r="P2846">
        <v>37.44</v>
      </c>
      <c r="Q2846">
        <v>0</v>
      </c>
      <c r="R2846">
        <v>0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0</v>
      </c>
      <c r="Y2846">
        <v>0</v>
      </c>
      <c r="Z2846">
        <v>3</v>
      </c>
      <c r="AA2846">
        <v>0</v>
      </c>
      <c r="AC2846">
        <v>40.44</v>
      </c>
    </row>
    <row r="2847" spans="1:29">
      <c r="A2847">
        <v>2840</v>
      </c>
      <c r="B2847">
        <v>1380</v>
      </c>
      <c r="C2847" t="s">
        <v>6001</v>
      </c>
      <c r="D2847" t="s">
        <v>86</v>
      </c>
      <c r="E2847" t="s">
        <v>6002</v>
      </c>
      <c r="F2847" t="s">
        <v>6003</v>
      </c>
      <c r="G2847" t="str">
        <f>"00264259"</f>
        <v>00264259</v>
      </c>
      <c r="H2847">
        <v>28.44</v>
      </c>
      <c r="I2847">
        <v>0</v>
      </c>
      <c r="J2847">
        <v>8</v>
      </c>
      <c r="M2847">
        <v>8</v>
      </c>
      <c r="N2847">
        <v>4</v>
      </c>
      <c r="O2847">
        <v>0</v>
      </c>
      <c r="P2847">
        <v>40.44</v>
      </c>
      <c r="Q2847">
        <v>0</v>
      </c>
      <c r="R2847">
        <v>0</v>
      </c>
      <c r="S2847">
        <v>0</v>
      </c>
      <c r="T2847">
        <v>0</v>
      </c>
      <c r="U2847">
        <v>0</v>
      </c>
      <c r="V2847">
        <v>0</v>
      </c>
      <c r="W2847">
        <v>0</v>
      </c>
      <c r="X2847">
        <v>0</v>
      </c>
      <c r="Y2847">
        <v>0</v>
      </c>
      <c r="Z2847">
        <v>0</v>
      </c>
      <c r="AA2847">
        <v>0</v>
      </c>
      <c r="AC2847">
        <v>40.44</v>
      </c>
    </row>
    <row r="2848" spans="1:29">
      <c r="A2848">
        <v>2841</v>
      </c>
      <c r="B2848">
        <v>3342</v>
      </c>
      <c r="C2848" t="s">
        <v>6004</v>
      </c>
      <c r="D2848" t="s">
        <v>108</v>
      </c>
      <c r="E2848" t="s">
        <v>28</v>
      </c>
      <c r="F2848" t="s">
        <v>6005</v>
      </c>
      <c r="G2848" t="str">
        <f>"00773240"</f>
        <v>00773240</v>
      </c>
      <c r="H2848">
        <v>36.4</v>
      </c>
      <c r="I2848">
        <v>0</v>
      </c>
      <c r="M2848">
        <v>0</v>
      </c>
      <c r="N2848">
        <v>4</v>
      </c>
      <c r="O2848">
        <v>0</v>
      </c>
      <c r="P2848">
        <v>40.4</v>
      </c>
      <c r="Q2848">
        <v>0</v>
      </c>
      <c r="R2848">
        <v>0</v>
      </c>
      <c r="S2848">
        <v>0</v>
      </c>
      <c r="T2848">
        <v>0</v>
      </c>
      <c r="U2848">
        <v>0</v>
      </c>
      <c r="V2848">
        <v>0</v>
      </c>
      <c r="W2848">
        <v>0</v>
      </c>
      <c r="X2848">
        <v>0</v>
      </c>
      <c r="Y2848">
        <v>0</v>
      </c>
      <c r="Z2848">
        <v>0</v>
      </c>
      <c r="AA2848">
        <v>0</v>
      </c>
      <c r="AC2848">
        <v>40.4</v>
      </c>
    </row>
    <row r="2849" spans="1:29">
      <c r="A2849">
        <v>2842</v>
      </c>
      <c r="B2849">
        <v>23</v>
      </c>
      <c r="C2849" t="s">
        <v>6006</v>
      </c>
      <c r="D2849" t="s">
        <v>164</v>
      </c>
      <c r="E2849" t="s">
        <v>4394</v>
      </c>
      <c r="F2849" t="s">
        <v>6007</v>
      </c>
      <c r="G2849" t="str">
        <f>"00575394"</f>
        <v>00575394</v>
      </c>
      <c r="H2849">
        <v>30.4</v>
      </c>
      <c r="I2849">
        <v>0</v>
      </c>
      <c r="L2849">
        <v>4</v>
      </c>
      <c r="M2849">
        <v>4</v>
      </c>
      <c r="N2849">
        <v>4</v>
      </c>
      <c r="O2849">
        <v>2</v>
      </c>
      <c r="P2849">
        <v>40.4</v>
      </c>
      <c r="Q2849">
        <v>0</v>
      </c>
      <c r="R2849">
        <v>0</v>
      </c>
      <c r="S2849">
        <v>0</v>
      </c>
      <c r="T2849">
        <v>0</v>
      </c>
      <c r="U2849">
        <v>0</v>
      </c>
      <c r="V2849">
        <v>0</v>
      </c>
      <c r="W2849">
        <v>0</v>
      </c>
      <c r="X2849">
        <v>0</v>
      </c>
      <c r="Y2849">
        <v>0</v>
      </c>
      <c r="Z2849">
        <v>0</v>
      </c>
      <c r="AA2849">
        <v>0</v>
      </c>
      <c r="AC2849">
        <v>40.4</v>
      </c>
    </row>
    <row r="2850" spans="1:29">
      <c r="A2850">
        <v>2843</v>
      </c>
      <c r="B2850">
        <v>838</v>
      </c>
      <c r="C2850" t="s">
        <v>6008</v>
      </c>
      <c r="D2850" t="s">
        <v>6009</v>
      </c>
      <c r="E2850" t="s">
        <v>134</v>
      </c>
      <c r="F2850" t="s">
        <v>6010</v>
      </c>
      <c r="G2850" t="str">
        <f>"00529932"</f>
        <v>00529932</v>
      </c>
      <c r="H2850">
        <v>14.4</v>
      </c>
      <c r="I2850">
        <v>0</v>
      </c>
      <c r="L2850">
        <v>4</v>
      </c>
      <c r="M2850">
        <v>4</v>
      </c>
      <c r="N2850">
        <v>4</v>
      </c>
      <c r="O2850">
        <v>2</v>
      </c>
      <c r="P2850">
        <v>24.4</v>
      </c>
      <c r="Q2850">
        <v>6</v>
      </c>
      <c r="R2850">
        <v>6</v>
      </c>
      <c r="S2850">
        <v>0</v>
      </c>
      <c r="T2850">
        <v>0</v>
      </c>
      <c r="U2850">
        <v>7</v>
      </c>
      <c r="V2850">
        <v>10</v>
      </c>
      <c r="W2850">
        <v>0</v>
      </c>
      <c r="X2850">
        <v>0</v>
      </c>
      <c r="Y2850">
        <v>16</v>
      </c>
      <c r="Z2850">
        <v>0</v>
      </c>
      <c r="AA2850">
        <v>0</v>
      </c>
      <c r="AC2850">
        <v>40.4</v>
      </c>
    </row>
    <row r="2851" spans="1:29">
      <c r="A2851">
        <v>2844</v>
      </c>
      <c r="B2851">
        <v>1699</v>
      </c>
      <c r="C2851" t="s">
        <v>3081</v>
      </c>
      <c r="D2851" t="s">
        <v>205</v>
      </c>
      <c r="E2851" t="s">
        <v>28</v>
      </c>
      <c r="F2851" t="s">
        <v>6011</v>
      </c>
      <c r="G2851" t="str">
        <f>"00531476"</f>
        <v>00531476</v>
      </c>
      <c r="H2851">
        <v>14.4</v>
      </c>
      <c r="I2851">
        <v>0</v>
      </c>
      <c r="L2851">
        <v>4</v>
      </c>
      <c r="M2851">
        <v>4</v>
      </c>
      <c r="N2851">
        <v>4</v>
      </c>
      <c r="O2851">
        <v>2</v>
      </c>
      <c r="P2851">
        <v>24.4</v>
      </c>
      <c r="Q2851">
        <v>16</v>
      </c>
      <c r="R2851">
        <v>16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0</v>
      </c>
      <c r="Y2851">
        <v>16</v>
      </c>
      <c r="Z2851">
        <v>0</v>
      </c>
      <c r="AA2851">
        <v>0</v>
      </c>
      <c r="AC2851">
        <v>40.4</v>
      </c>
    </row>
    <row r="2852" spans="1:29">
      <c r="A2852">
        <v>2845</v>
      </c>
      <c r="B2852">
        <v>1578</v>
      </c>
      <c r="C2852" t="s">
        <v>2665</v>
      </c>
      <c r="D2852" t="s">
        <v>962</v>
      </c>
      <c r="E2852" t="s">
        <v>53</v>
      </c>
      <c r="F2852" t="s">
        <v>6012</v>
      </c>
      <c r="G2852" t="str">
        <f>"00519449"</f>
        <v>00519449</v>
      </c>
      <c r="H2852">
        <v>24.36</v>
      </c>
      <c r="I2852">
        <v>0</v>
      </c>
      <c r="M2852">
        <v>0</v>
      </c>
      <c r="N2852">
        <v>4</v>
      </c>
      <c r="O2852">
        <v>0</v>
      </c>
      <c r="P2852">
        <v>28.36</v>
      </c>
      <c r="Q2852">
        <v>6</v>
      </c>
      <c r="R2852">
        <v>6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0</v>
      </c>
      <c r="Y2852">
        <v>6</v>
      </c>
      <c r="Z2852">
        <v>6</v>
      </c>
      <c r="AA2852">
        <v>0</v>
      </c>
      <c r="AC2852">
        <v>40.36</v>
      </c>
    </row>
    <row r="2853" spans="1:29">
      <c r="A2853">
        <v>2846</v>
      </c>
      <c r="B2853">
        <v>341</v>
      </c>
      <c r="C2853" t="s">
        <v>6013</v>
      </c>
      <c r="D2853" t="s">
        <v>6014</v>
      </c>
      <c r="E2853" t="s">
        <v>18</v>
      </c>
      <c r="F2853" t="s">
        <v>6015</v>
      </c>
      <c r="G2853" t="str">
        <f>"00511655"</f>
        <v>00511655</v>
      </c>
      <c r="H2853">
        <v>24.36</v>
      </c>
      <c r="I2853">
        <v>0</v>
      </c>
      <c r="M2853">
        <v>0</v>
      </c>
      <c r="N2853">
        <v>0</v>
      </c>
      <c r="O2853">
        <v>0</v>
      </c>
      <c r="P2853">
        <v>24.36</v>
      </c>
      <c r="Q2853">
        <v>16</v>
      </c>
      <c r="R2853">
        <v>16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16</v>
      </c>
      <c r="Z2853">
        <v>0</v>
      </c>
      <c r="AA2853">
        <v>0</v>
      </c>
      <c r="AC2853">
        <v>40.36</v>
      </c>
    </row>
    <row r="2854" spans="1:29">
      <c r="A2854">
        <v>2847</v>
      </c>
      <c r="B2854">
        <v>1860</v>
      </c>
      <c r="C2854" t="s">
        <v>6016</v>
      </c>
      <c r="D2854" t="s">
        <v>164</v>
      </c>
      <c r="E2854" t="s">
        <v>36</v>
      </c>
      <c r="F2854" t="s">
        <v>6017</v>
      </c>
      <c r="G2854" t="str">
        <f>"200803000718"</f>
        <v>200803000718</v>
      </c>
      <c r="H2854">
        <v>27.28</v>
      </c>
      <c r="I2854">
        <v>0</v>
      </c>
      <c r="M2854">
        <v>0</v>
      </c>
      <c r="N2854">
        <v>4</v>
      </c>
      <c r="O2854">
        <v>0</v>
      </c>
      <c r="P2854">
        <v>31.28</v>
      </c>
      <c r="Q2854">
        <v>0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0</v>
      </c>
      <c r="Z2854">
        <v>9</v>
      </c>
      <c r="AA2854">
        <v>0</v>
      </c>
      <c r="AC2854">
        <v>40.28</v>
      </c>
    </row>
    <row r="2855" spans="1:29">
      <c r="A2855">
        <v>2848</v>
      </c>
      <c r="B2855">
        <v>735</v>
      </c>
      <c r="C2855" t="s">
        <v>6018</v>
      </c>
      <c r="D2855" t="s">
        <v>27</v>
      </c>
      <c r="E2855" t="s">
        <v>227</v>
      </c>
      <c r="F2855" t="s">
        <v>6019</v>
      </c>
      <c r="G2855" t="str">
        <f>"00855881"</f>
        <v>00855881</v>
      </c>
      <c r="H2855">
        <v>30.28</v>
      </c>
      <c r="I2855">
        <v>10</v>
      </c>
      <c r="M2855">
        <v>0</v>
      </c>
      <c r="N2855">
        <v>0</v>
      </c>
      <c r="O2855">
        <v>0</v>
      </c>
      <c r="P2855">
        <v>40.28</v>
      </c>
      <c r="Q2855">
        <v>0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0</v>
      </c>
      <c r="Z2855">
        <v>0</v>
      </c>
      <c r="AA2855">
        <v>0</v>
      </c>
      <c r="AC2855">
        <v>40.28</v>
      </c>
    </row>
    <row r="2856" spans="1:29">
      <c r="A2856">
        <v>2849</v>
      </c>
      <c r="B2856">
        <v>401</v>
      </c>
      <c r="C2856" t="s">
        <v>6020</v>
      </c>
      <c r="D2856" t="s">
        <v>164</v>
      </c>
      <c r="E2856" t="s">
        <v>15</v>
      </c>
      <c r="F2856" t="s">
        <v>6021</v>
      </c>
      <c r="G2856" t="str">
        <f>"00857052"</f>
        <v>00857052</v>
      </c>
      <c r="H2856">
        <v>30.24</v>
      </c>
      <c r="I2856">
        <v>0</v>
      </c>
      <c r="L2856">
        <v>4</v>
      </c>
      <c r="M2856">
        <v>4</v>
      </c>
      <c r="N2856">
        <v>0</v>
      </c>
      <c r="O2856">
        <v>0</v>
      </c>
      <c r="P2856">
        <v>34.24</v>
      </c>
      <c r="Q2856">
        <v>0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0</v>
      </c>
      <c r="Z2856">
        <v>6</v>
      </c>
      <c r="AA2856">
        <v>0</v>
      </c>
      <c r="AC2856">
        <v>40.24</v>
      </c>
    </row>
    <row r="2857" spans="1:29">
      <c r="A2857">
        <v>2850</v>
      </c>
      <c r="B2857">
        <v>3895</v>
      </c>
      <c r="C2857" t="s">
        <v>6022</v>
      </c>
      <c r="D2857" t="s">
        <v>6023</v>
      </c>
      <c r="E2857" t="s">
        <v>322</v>
      </c>
      <c r="F2857" t="s">
        <v>6024</v>
      </c>
      <c r="G2857" t="str">
        <f>"201409006113"</f>
        <v>201409006113</v>
      </c>
      <c r="H2857">
        <v>7.2</v>
      </c>
      <c r="I2857">
        <v>0</v>
      </c>
      <c r="L2857">
        <v>4</v>
      </c>
      <c r="M2857">
        <v>4</v>
      </c>
      <c r="N2857">
        <v>4</v>
      </c>
      <c r="O2857">
        <v>2</v>
      </c>
      <c r="P2857">
        <v>17.2</v>
      </c>
      <c r="Q2857">
        <v>13</v>
      </c>
      <c r="R2857">
        <v>13</v>
      </c>
      <c r="S2857">
        <v>0</v>
      </c>
      <c r="T2857">
        <v>0</v>
      </c>
      <c r="U2857">
        <v>7</v>
      </c>
      <c r="V2857">
        <v>10</v>
      </c>
      <c r="W2857">
        <v>0</v>
      </c>
      <c r="X2857">
        <v>0</v>
      </c>
      <c r="Y2857">
        <v>23</v>
      </c>
      <c r="Z2857">
        <v>0</v>
      </c>
      <c r="AA2857">
        <v>0</v>
      </c>
      <c r="AC2857">
        <v>40.200000000000003</v>
      </c>
    </row>
    <row r="2858" spans="1:29">
      <c r="A2858">
        <v>2851</v>
      </c>
      <c r="B2858">
        <v>2560</v>
      </c>
      <c r="C2858" t="s">
        <v>3806</v>
      </c>
      <c r="D2858" t="s">
        <v>108</v>
      </c>
      <c r="E2858" t="s">
        <v>18</v>
      </c>
      <c r="F2858" t="s">
        <v>6025</v>
      </c>
      <c r="G2858" t="str">
        <f>"00147582"</f>
        <v>00147582</v>
      </c>
      <c r="H2858">
        <v>19.16</v>
      </c>
      <c r="I2858">
        <v>0</v>
      </c>
      <c r="J2858">
        <v>8</v>
      </c>
      <c r="M2858">
        <v>8</v>
      </c>
      <c r="N2858">
        <v>4</v>
      </c>
      <c r="O2858">
        <v>0</v>
      </c>
      <c r="P2858">
        <v>31.16</v>
      </c>
      <c r="Q2858">
        <v>0</v>
      </c>
      <c r="R2858">
        <v>0</v>
      </c>
      <c r="S2858">
        <v>0</v>
      </c>
      <c r="T2858">
        <v>0</v>
      </c>
      <c r="U2858">
        <v>0</v>
      </c>
      <c r="V2858">
        <v>0</v>
      </c>
      <c r="W2858">
        <v>0</v>
      </c>
      <c r="X2858">
        <v>0</v>
      </c>
      <c r="Y2858">
        <v>0</v>
      </c>
      <c r="Z2858">
        <v>9</v>
      </c>
      <c r="AA2858">
        <v>0</v>
      </c>
      <c r="AC2858">
        <v>40.159999999999997</v>
      </c>
    </row>
    <row r="2859" spans="1:29">
      <c r="A2859">
        <v>2852</v>
      </c>
      <c r="B2859">
        <v>1456</v>
      </c>
      <c r="C2859" t="s">
        <v>6026</v>
      </c>
      <c r="D2859" t="s">
        <v>329</v>
      </c>
      <c r="E2859" t="s">
        <v>6027</v>
      </c>
      <c r="F2859" t="s">
        <v>6028</v>
      </c>
      <c r="G2859" t="str">
        <f>"00521240"</f>
        <v>00521240</v>
      </c>
      <c r="H2859">
        <v>25</v>
      </c>
      <c r="I2859">
        <v>0</v>
      </c>
      <c r="M2859">
        <v>0</v>
      </c>
      <c r="N2859">
        <v>0</v>
      </c>
      <c r="O2859">
        <v>0</v>
      </c>
      <c r="P2859">
        <v>25</v>
      </c>
      <c r="Q2859">
        <v>6</v>
      </c>
      <c r="R2859">
        <v>6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6</v>
      </c>
      <c r="Z2859">
        <v>9</v>
      </c>
      <c r="AA2859">
        <v>0</v>
      </c>
      <c r="AC2859">
        <v>40</v>
      </c>
    </row>
    <row r="2860" spans="1:29">
      <c r="A2860">
        <v>2853</v>
      </c>
      <c r="B2860">
        <v>686</v>
      </c>
      <c r="C2860" t="s">
        <v>6029</v>
      </c>
      <c r="D2860" t="s">
        <v>27</v>
      </c>
      <c r="E2860" t="s">
        <v>379</v>
      </c>
      <c r="F2860" t="s">
        <v>6030</v>
      </c>
      <c r="G2860" t="str">
        <f>"00519838"</f>
        <v>00519838</v>
      </c>
      <c r="H2860">
        <v>0</v>
      </c>
      <c r="I2860">
        <v>0</v>
      </c>
      <c r="M2860">
        <v>0</v>
      </c>
      <c r="N2860">
        <v>4</v>
      </c>
      <c r="O2860">
        <v>0</v>
      </c>
      <c r="P2860">
        <v>4</v>
      </c>
      <c r="Q2860">
        <v>30</v>
      </c>
      <c r="R2860">
        <v>30</v>
      </c>
      <c r="S2860">
        <v>0</v>
      </c>
      <c r="T2860">
        <v>0</v>
      </c>
      <c r="U2860">
        <v>0</v>
      </c>
      <c r="V2860">
        <v>0</v>
      </c>
      <c r="W2860">
        <v>0</v>
      </c>
      <c r="X2860">
        <v>0</v>
      </c>
      <c r="Y2860">
        <v>30</v>
      </c>
      <c r="Z2860">
        <v>6</v>
      </c>
      <c r="AA2860">
        <v>0</v>
      </c>
      <c r="AC2860">
        <v>40</v>
      </c>
    </row>
    <row r="2861" spans="1:29">
      <c r="A2861">
        <v>2854</v>
      </c>
      <c r="B2861">
        <v>1921</v>
      </c>
      <c r="C2861" t="s">
        <v>6031</v>
      </c>
      <c r="D2861" t="s">
        <v>164</v>
      </c>
      <c r="E2861" t="s">
        <v>66</v>
      </c>
      <c r="F2861" t="s">
        <v>6032</v>
      </c>
      <c r="G2861" t="str">
        <f>"00864074"</f>
        <v>00864074</v>
      </c>
      <c r="H2861">
        <v>40</v>
      </c>
      <c r="I2861">
        <v>0</v>
      </c>
      <c r="M2861">
        <v>0</v>
      </c>
      <c r="N2861">
        <v>0</v>
      </c>
      <c r="O2861">
        <v>0</v>
      </c>
      <c r="P2861">
        <v>40</v>
      </c>
      <c r="Q2861">
        <v>0</v>
      </c>
      <c r="R2861">
        <v>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0</v>
      </c>
      <c r="Z2861">
        <v>0</v>
      </c>
      <c r="AA2861">
        <v>0</v>
      </c>
      <c r="AC2861">
        <v>40</v>
      </c>
    </row>
    <row r="2862" spans="1:29">
      <c r="A2862">
        <v>2855</v>
      </c>
      <c r="B2862">
        <v>3302</v>
      </c>
      <c r="C2862" t="s">
        <v>6043</v>
      </c>
      <c r="D2862" t="s">
        <v>108</v>
      </c>
      <c r="E2862" t="s">
        <v>436</v>
      </c>
      <c r="F2862" t="s">
        <v>6044</v>
      </c>
      <c r="G2862" t="str">
        <f>"00861321"</f>
        <v>00861321</v>
      </c>
      <c r="H2862">
        <v>36</v>
      </c>
      <c r="I2862">
        <v>0</v>
      </c>
      <c r="L2862">
        <v>4</v>
      </c>
      <c r="M2862">
        <v>4</v>
      </c>
      <c r="N2862">
        <v>0</v>
      </c>
      <c r="O2862">
        <v>0</v>
      </c>
      <c r="P2862">
        <v>40</v>
      </c>
      <c r="Q2862">
        <v>0</v>
      </c>
      <c r="R2862">
        <v>0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0</v>
      </c>
      <c r="Z2862">
        <v>0</v>
      </c>
      <c r="AA2862">
        <v>0</v>
      </c>
      <c r="AC2862">
        <v>40</v>
      </c>
    </row>
    <row r="2863" spans="1:29">
      <c r="A2863">
        <v>2856</v>
      </c>
      <c r="B2863">
        <v>4406</v>
      </c>
      <c r="C2863" t="s">
        <v>6049</v>
      </c>
      <c r="D2863" t="s">
        <v>35</v>
      </c>
      <c r="E2863" t="s">
        <v>134</v>
      </c>
      <c r="F2863" t="s">
        <v>6050</v>
      </c>
      <c r="G2863" t="str">
        <f>"00863359"</f>
        <v>00863359</v>
      </c>
      <c r="H2863">
        <v>36</v>
      </c>
      <c r="I2863">
        <v>0</v>
      </c>
      <c r="L2863">
        <v>4</v>
      </c>
      <c r="M2863">
        <v>4</v>
      </c>
      <c r="N2863">
        <v>0</v>
      </c>
      <c r="O2863">
        <v>0</v>
      </c>
      <c r="P2863">
        <v>40</v>
      </c>
      <c r="Q2863">
        <v>0</v>
      </c>
      <c r="R2863">
        <v>0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  <c r="Y2863">
        <v>0</v>
      </c>
      <c r="Z2863">
        <v>0</v>
      </c>
      <c r="AA2863">
        <v>0</v>
      </c>
      <c r="AC2863">
        <v>40</v>
      </c>
    </row>
    <row r="2864" spans="1:29">
      <c r="A2864">
        <v>2857</v>
      </c>
      <c r="B2864">
        <v>3104</v>
      </c>
      <c r="C2864" t="s">
        <v>6035</v>
      </c>
      <c r="D2864" t="s">
        <v>400</v>
      </c>
      <c r="E2864" t="s">
        <v>115</v>
      </c>
      <c r="F2864" t="s">
        <v>6036</v>
      </c>
      <c r="G2864" t="str">
        <f>"00864726"</f>
        <v>00864726</v>
      </c>
      <c r="H2864">
        <v>36</v>
      </c>
      <c r="I2864">
        <v>0</v>
      </c>
      <c r="M2864">
        <v>0</v>
      </c>
      <c r="N2864">
        <v>4</v>
      </c>
      <c r="O2864">
        <v>0</v>
      </c>
      <c r="P2864">
        <v>40</v>
      </c>
      <c r="Q2864">
        <v>0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0</v>
      </c>
      <c r="Y2864">
        <v>0</v>
      </c>
      <c r="Z2864">
        <v>0</v>
      </c>
      <c r="AA2864">
        <v>0</v>
      </c>
      <c r="AC2864">
        <v>40</v>
      </c>
    </row>
    <row r="2865" spans="1:29">
      <c r="A2865">
        <v>2858</v>
      </c>
      <c r="B2865">
        <v>3131</v>
      </c>
      <c r="C2865" t="s">
        <v>6039</v>
      </c>
      <c r="D2865" t="s">
        <v>276</v>
      </c>
      <c r="E2865" t="s">
        <v>79</v>
      </c>
      <c r="F2865" t="s">
        <v>6040</v>
      </c>
      <c r="G2865" t="str">
        <f>"00737311"</f>
        <v>00737311</v>
      </c>
      <c r="H2865">
        <v>36</v>
      </c>
      <c r="I2865">
        <v>0</v>
      </c>
      <c r="M2865">
        <v>0</v>
      </c>
      <c r="N2865">
        <v>4</v>
      </c>
      <c r="O2865">
        <v>0</v>
      </c>
      <c r="P2865">
        <v>40</v>
      </c>
      <c r="Q2865">
        <v>0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0</v>
      </c>
      <c r="X2865">
        <v>0</v>
      </c>
      <c r="Y2865">
        <v>0</v>
      </c>
      <c r="Z2865">
        <v>0</v>
      </c>
      <c r="AA2865">
        <v>0</v>
      </c>
      <c r="AC2865">
        <v>40</v>
      </c>
    </row>
    <row r="2866" spans="1:29">
      <c r="A2866">
        <v>2859</v>
      </c>
      <c r="B2866">
        <v>4051</v>
      </c>
      <c r="C2866" t="s">
        <v>6047</v>
      </c>
      <c r="D2866" t="s">
        <v>400</v>
      </c>
      <c r="E2866" t="s">
        <v>15</v>
      </c>
      <c r="F2866" t="s">
        <v>6048</v>
      </c>
      <c r="G2866" t="str">
        <f>"00512333"</f>
        <v>00512333</v>
      </c>
      <c r="H2866">
        <v>36</v>
      </c>
      <c r="I2866">
        <v>0</v>
      </c>
      <c r="M2866">
        <v>0</v>
      </c>
      <c r="N2866">
        <v>4</v>
      </c>
      <c r="O2866">
        <v>0</v>
      </c>
      <c r="P2866">
        <v>40</v>
      </c>
      <c r="Q2866">
        <v>0</v>
      </c>
      <c r="R2866">
        <v>0</v>
      </c>
      <c r="S2866">
        <v>0</v>
      </c>
      <c r="T2866">
        <v>0</v>
      </c>
      <c r="U2866">
        <v>0</v>
      </c>
      <c r="V2866">
        <v>0</v>
      </c>
      <c r="W2866">
        <v>0</v>
      </c>
      <c r="X2866">
        <v>0</v>
      </c>
      <c r="Y2866">
        <v>0</v>
      </c>
      <c r="Z2866">
        <v>0</v>
      </c>
      <c r="AA2866">
        <v>0</v>
      </c>
      <c r="AC2866">
        <v>40</v>
      </c>
    </row>
    <row r="2867" spans="1:29">
      <c r="A2867">
        <v>2860</v>
      </c>
      <c r="B2867">
        <v>1919</v>
      </c>
      <c r="C2867" t="s">
        <v>6033</v>
      </c>
      <c r="D2867" t="s">
        <v>27</v>
      </c>
      <c r="E2867" t="s">
        <v>15</v>
      </c>
      <c r="F2867" t="s">
        <v>6034</v>
      </c>
      <c r="G2867" t="str">
        <f>"00859969"</f>
        <v>00859969</v>
      </c>
      <c r="H2867">
        <v>36</v>
      </c>
      <c r="I2867">
        <v>0</v>
      </c>
      <c r="L2867">
        <v>4</v>
      </c>
      <c r="M2867">
        <v>4</v>
      </c>
      <c r="N2867">
        <v>0</v>
      </c>
      <c r="O2867">
        <v>0</v>
      </c>
      <c r="P2867">
        <v>40</v>
      </c>
      <c r="Q2867">
        <v>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0</v>
      </c>
      <c r="Z2867">
        <v>0</v>
      </c>
      <c r="AA2867">
        <v>0</v>
      </c>
      <c r="AC2867">
        <v>40</v>
      </c>
    </row>
    <row r="2868" spans="1:29">
      <c r="A2868">
        <v>2861</v>
      </c>
      <c r="B2868">
        <v>4005</v>
      </c>
      <c r="C2868" t="s">
        <v>6041</v>
      </c>
      <c r="D2868" t="s">
        <v>31</v>
      </c>
      <c r="E2868" t="s">
        <v>60</v>
      </c>
      <c r="F2868" t="s">
        <v>6042</v>
      </c>
      <c r="G2868" t="str">
        <f>"00859324"</f>
        <v>00859324</v>
      </c>
      <c r="H2868">
        <v>36</v>
      </c>
      <c r="I2868">
        <v>0</v>
      </c>
      <c r="M2868">
        <v>0</v>
      </c>
      <c r="N2868">
        <v>4</v>
      </c>
      <c r="O2868">
        <v>0</v>
      </c>
      <c r="P2868">
        <v>40</v>
      </c>
      <c r="Q2868">
        <v>0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  <c r="Y2868">
        <v>0</v>
      </c>
      <c r="Z2868">
        <v>0</v>
      </c>
      <c r="AA2868">
        <v>0</v>
      </c>
      <c r="AC2868">
        <v>40</v>
      </c>
    </row>
    <row r="2869" spans="1:29">
      <c r="A2869">
        <v>2862</v>
      </c>
      <c r="B2869">
        <v>2511</v>
      </c>
      <c r="C2869" t="s">
        <v>6051</v>
      </c>
      <c r="D2869" t="s">
        <v>108</v>
      </c>
      <c r="E2869" t="s">
        <v>777</v>
      </c>
      <c r="F2869" t="s">
        <v>6052</v>
      </c>
      <c r="G2869" t="str">
        <f>"00390619"</f>
        <v>00390619</v>
      </c>
      <c r="H2869">
        <v>36</v>
      </c>
      <c r="I2869">
        <v>0</v>
      </c>
      <c r="M2869">
        <v>0</v>
      </c>
      <c r="N2869">
        <v>4</v>
      </c>
      <c r="O2869">
        <v>0</v>
      </c>
      <c r="P2869">
        <v>40</v>
      </c>
      <c r="Q2869">
        <v>0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0</v>
      </c>
      <c r="Z2869">
        <v>0</v>
      </c>
      <c r="AA2869">
        <v>0</v>
      </c>
      <c r="AC2869">
        <v>40</v>
      </c>
    </row>
    <row r="2870" spans="1:29">
      <c r="A2870">
        <v>2863</v>
      </c>
      <c r="B2870">
        <v>4883</v>
      </c>
      <c r="C2870" t="s">
        <v>6053</v>
      </c>
      <c r="D2870" t="s">
        <v>1695</v>
      </c>
      <c r="E2870" t="s">
        <v>12</v>
      </c>
      <c r="F2870" t="s">
        <v>6054</v>
      </c>
      <c r="G2870" t="str">
        <f>"00184192"</f>
        <v>00184192</v>
      </c>
      <c r="H2870">
        <v>36</v>
      </c>
      <c r="I2870">
        <v>0</v>
      </c>
      <c r="M2870">
        <v>0</v>
      </c>
      <c r="N2870">
        <v>4</v>
      </c>
      <c r="O2870">
        <v>0</v>
      </c>
      <c r="P2870">
        <v>40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0</v>
      </c>
      <c r="Z2870">
        <v>0</v>
      </c>
      <c r="AA2870">
        <v>0</v>
      </c>
      <c r="AC2870">
        <v>40</v>
      </c>
    </row>
    <row r="2871" spans="1:29">
      <c r="A2871">
        <v>2864</v>
      </c>
      <c r="B2871">
        <v>2794</v>
      </c>
      <c r="C2871" t="s">
        <v>6055</v>
      </c>
      <c r="D2871" t="s">
        <v>1875</v>
      </c>
      <c r="E2871" t="s">
        <v>18</v>
      </c>
      <c r="F2871" t="s">
        <v>6056</v>
      </c>
      <c r="G2871" t="str">
        <f>"00221739"</f>
        <v>00221739</v>
      </c>
      <c r="H2871">
        <v>36</v>
      </c>
      <c r="I2871">
        <v>0</v>
      </c>
      <c r="M2871">
        <v>0</v>
      </c>
      <c r="N2871">
        <v>4</v>
      </c>
      <c r="O2871">
        <v>0</v>
      </c>
      <c r="P2871">
        <v>40</v>
      </c>
      <c r="Q2871">
        <v>0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0</v>
      </c>
      <c r="Y2871">
        <v>0</v>
      </c>
      <c r="Z2871">
        <v>0</v>
      </c>
      <c r="AA2871">
        <v>0</v>
      </c>
      <c r="AC2871">
        <v>40</v>
      </c>
    </row>
    <row r="2872" spans="1:29">
      <c r="A2872">
        <v>2865</v>
      </c>
      <c r="B2872">
        <v>219</v>
      </c>
      <c r="C2872" t="s">
        <v>6045</v>
      </c>
      <c r="D2872" t="s">
        <v>27</v>
      </c>
      <c r="E2872" t="s">
        <v>36</v>
      </c>
      <c r="F2872" t="s">
        <v>6046</v>
      </c>
      <c r="G2872" t="str">
        <f>"00265978"</f>
        <v>00265978</v>
      </c>
      <c r="H2872">
        <v>36</v>
      </c>
      <c r="I2872">
        <v>0</v>
      </c>
      <c r="M2872">
        <v>0</v>
      </c>
      <c r="N2872">
        <v>4</v>
      </c>
      <c r="O2872">
        <v>0</v>
      </c>
      <c r="P2872">
        <v>40</v>
      </c>
      <c r="Q2872">
        <v>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0</v>
      </c>
      <c r="X2872">
        <v>0</v>
      </c>
      <c r="Y2872">
        <v>0</v>
      </c>
      <c r="Z2872">
        <v>0</v>
      </c>
      <c r="AA2872">
        <v>0</v>
      </c>
      <c r="AC2872">
        <v>40</v>
      </c>
    </row>
    <row r="2873" spans="1:29">
      <c r="A2873">
        <v>2866</v>
      </c>
      <c r="B2873">
        <v>437</v>
      </c>
      <c r="C2873" t="s">
        <v>6037</v>
      </c>
      <c r="D2873" t="s">
        <v>159</v>
      </c>
      <c r="E2873" t="s">
        <v>32</v>
      </c>
      <c r="F2873" t="s">
        <v>6038</v>
      </c>
      <c r="G2873" t="str">
        <f>"00855713"</f>
        <v>00855713</v>
      </c>
      <c r="H2873">
        <v>36</v>
      </c>
      <c r="I2873">
        <v>0</v>
      </c>
      <c r="M2873">
        <v>0</v>
      </c>
      <c r="N2873">
        <v>4</v>
      </c>
      <c r="O2873">
        <v>0</v>
      </c>
      <c r="P2873">
        <v>40</v>
      </c>
      <c r="Q2873">
        <v>0</v>
      </c>
      <c r="R2873">
        <v>0</v>
      </c>
      <c r="S2873">
        <v>0</v>
      </c>
      <c r="T2873">
        <v>0</v>
      </c>
      <c r="U2873">
        <v>0</v>
      </c>
      <c r="V2873">
        <v>0</v>
      </c>
      <c r="W2873">
        <v>0</v>
      </c>
      <c r="X2873">
        <v>0</v>
      </c>
      <c r="Y2873">
        <v>0</v>
      </c>
      <c r="Z2873">
        <v>0</v>
      </c>
      <c r="AA2873">
        <v>0</v>
      </c>
      <c r="AC2873">
        <v>40</v>
      </c>
    </row>
    <row r="2874" spans="1:29">
      <c r="A2874">
        <v>2867</v>
      </c>
      <c r="B2874">
        <v>2402</v>
      </c>
      <c r="C2874" t="s">
        <v>6057</v>
      </c>
      <c r="D2874" t="s">
        <v>159</v>
      </c>
      <c r="E2874" t="s">
        <v>18</v>
      </c>
      <c r="F2874" t="s">
        <v>6058</v>
      </c>
      <c r="G2874" t="str">
        <f>"00318212"</f>
        <v>00318212</v>
      </c>
      <c r="H2874">
        <v>34</v>
      </c>
      <c r="I2874">
        <v>0</v>
      </c>
      <c r="M2874">
        <v>0</v>
      </c>
      <c r="N2874">
        <v>4</v>
      </c>
      <c r="O2874">
        <v>2</v>
      </c>
      <c r="P2874">
        <v>40</v>
      </c>
      <c r="Q2874">
        <v>0</v>
      </c>
      <c r="R2874">
        <v>0</v>
      </c>
      <c r="S2874">
        <v>0</v>
      </c>
      <c r="T2874">
        <v>0</v>
      </c>
      <c r="U2874">
        <v>0</v>
      </c>
      <c r="V2874">
        <v>0</v>
      </c>
      <c r="W2874">
        <v>0</v>
      </c>
      <c r="X2874">
        <v>0</v>
      </c>
      <c r="Y2874">
        <v>0</v>
      </c>
      <c r="Z2874">
        <v>0</v>
      </c>
      <c r="AA2874">
        <v>0</v>
      </c>
      <c r="AC2874">
        <v>40</v>
      </c>
    </row>
    <row r="2875" spans="1:29">
      <c r="A2875">
        <v>2868</v>
      </c>
      <c r="B2875">
        <v>4596</v>
      </c>
      <c r="C2875" t="s">
        <v>6059</v>
      </c>
      <c r="D2875" t="s">
        <v>205</v>
      </c>
      <c r="E2875" t="s">
        <v>79</v>
      </c>
      <c r="F2875" t="s">
        <v>6060</v>
      </c>
      <c r="G2875" t="str">
        <f>"00313740"</f>
        <v>00313740</v>
      </c>
      <c r="H2875">
        <v>30</v>
      </c>
      <c r="I2875">
        <v>0</v>
      </c>
      <c r="L2875">
        <v>4</v>
      </c>
      <c r="M2875">
        <v>4</v>
      </c>
      <c r="N2875">
        <v>4</v>
      </c>
      <c r="O2875">
        <v>2</v>
      </c>
      <c r="P2875">
        <v>40</v>
      </c>
      <c r="Q2875">
        <v>0</v>
      </c>
      <c r="R2875">
        <v>0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0</v>
      </c>
      <c r="Y2875">
        <v>0</v>
      </c>
      <c r="Z2875">
        <v>0</v>
      </c>
      <c r="AA2875">
        <v>0</v>
      </c>
      <c r="AC2875">
        <v>40</v>
      </c>
    </row>
    <row r="2876" spans="1:29">
      <c r="A2876">
        <v>2869</v>
      </c>
      <c r="B2876">
        <v>2500</v>
      </c>
      <c r="C2876" t="s">
        <v>3042</v>
      </c>
      <c r="D2876" t="s">
        <v>159</v>
      </c>
      <c r="E2876" t="s">
        <v>187</v>
      </c>
      <c r="F2876" t="s">
        <v>6061</v>
      </c>
      <c r="G2876" t="str">
        <f>"00769516"</f>
        <v>00769516</v>
      </c>
      <c r="H2876">
        <v>22</v>
      </c>
      <c r="I2876">
        <v>10</v>
      </c>
      <c r="L2876">
        <v>4</v>
      </c>
      <c r="M2876">
        <v>4</v>
      </c>
      <c r="N2876">
        <v>4</v>
      </c>
      <c r="O2876">
        <v>0</v>
      </c>
      <c r="P2876">
        <v>40</v>
      </c>
      <c r="Q2876">
        <v>0</v>
      </c>
      <c r="R2876">
        <v>0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0</v>
      </c>
      <c r="Y2876">
        <v>0</v>
      </c>
      <c r="Z2876">
        <v>0</v>
      </c>
      <c r="AA2876">
        <v>0</v>
      </c>
      <c r="AC2876">
        <v>40</v>
      </c>
    </row>
    <row r="2877" spans="1:29">
      <c r="A2877">
        <v>2870</v>
      </c>
      <c r="B2877">
        <v>2221</v>
      </c>
      <c r="C2877" t="s">
        <v>6062</v>
      </c>
      <c r="D2877" t="s">
        <v>248</v>
      </c>
      <c r="E2877" t="s">
        <v>79</v>
      </c>
      <c r="F2877" t="s">
        <v>6063</v>
      </c>
      <c r="G2877" t="str">
        <f>"00863750"</f>
        <v>00863750</v>
      </c>
      <c r="H2877">
        <v>29.8</v>
      </c>
      <c r="I2877">
        <v>0</v>
      </c>
      <c r="M2877">
        <v>0</v>
      </c>
      <c r="N2877">
        <v>4</v>
      </c>
      <c r="O2877">
        <v>0</v>
      </c>
      <c r="P2877">
        <v>33.799999999999997</v>
      </c>
      <c r="Q2877">
        <v>0</v>
      </c>
      <c r="R2877">
        <v>0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0</v>
      </c>
      <c r="Z2877">
        <v>6</v>
      </c>
      <c r="AA2877">
        <v>0</v>
      </c>
      <c r="AC2877">
        <v>39.799999999999997</v>
      </c>
    </row>
    <row r="2878" spans="1:29">
      <c r="A2878">
        <v>2871</v>
      </c>
      <c r="B2878">
        <v>2922</v>
      </c>
      <c r="C2878" t="s">
        <v>6064</v>
      </c>
      <c r="D2878" t="s">
        <v>52</v>
      </c>
      <c r="E2878" t="s">
        <v>322</v>
      </c>
      <c r="F2878" t="s">
        <v>6065</v>
      </c>
      <c r="G2878" t="str">
        <f>"00703542"</f>
        <v>00703542</v>
      </c>
      <c r="H2878">
        <v>32.799999999999997</v>
      </c>
      <c r="I2878">
        <v>0</v>
      </c>
      <c r="M2878">
        <v>0</v>
      </c>
      <c r="N2878">
        <v>4</v>
      </c>
      <c r="O2878">
        <v>0</v>
      </c>
      <c r="P2878">
        <v>36.799999999999997</v>
      </c>
      <c r="Q2878">
        <v>0</v>
      </c>
      <c r="R2878">
        <v>0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0</v>
      </c>
      <c r="Y2878">
        <v>0</v>
      </c>
      <c r="Z2878">
        <v>3</v>
      </c>
      <c r="AA2878">
        <v>0</v>
      </c>
      <c r="AC2878">
        <v>39.799999999999997</v>
      </c>
    </row>
    <row r="2879" spans="1:29">
      <c r="A2879">
        <v>2872</v>
      </c>
      <c r="B2879">
        <v>2994</v>
      </c>
      <c r="C2879" t="s">
        <v>6066</v>
      </c>
      <c r="D2879" t="s">
        <v>6067</v>
      </c>
      <c r="E2879" t="s">
        <v>156</v>
      </c>
      <c r="F2879" t="s">
        <v>6068</v>
      </c>
      <c r="G2879" t="str">
        <f>"00613522"</f>
        <v>00613522</v>
      </c>
      <c r="H2879">
        <v>32.799999999999997</v>
      </c>
      <c r="I2879">
        <v>0</v>
      </c>
      <c r="L2879">
        <v>4</v>
      </c>
      <c r="M2879">
        <v>4</v>
      </c>
      <c r="N2879">
        <v>0</v>
      </c>
      <c r="O2879">
        <v>0</v>
      </c>
      <c r="P2879">
        <v>36.799999999999997</v>
      </c>
      <c r="Q2879">
        <v>0</v>
      </c>
      <c r="R2879">
        <v>0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0</v>
      </c>
      <c r="Y2879">
        <v>0</v>
      </c>
      <c r="Z2879">
        <v>3</v>
      </c>
      <c r="AA2879">
        <v>0</v>
      </c>
      <c r="AC2879">
        <v>39.799999999999997</v>
      </c>
    </row>
    <row r="2880" spans="1:29">
      <c r="A2880">
        <v>2873</v>
      </c>
      <c r="B2880">
        <v>2852</v>
      </c>
      <c r="C2880" t="s">
        <v>6071</v>
      </c>
      <c r="D2880" t="s">
        <v>205</v>
      </c>
      <c r="E2880" t="s">
        <v>6072</v>
      </c>
      <c r="F2880" t="s">
        <v>6073</v>
      </c>
      <c r="G2880" t="str">
        <f>"00472683"</f>
        <v>00472683</v>
      </c>
      <c r="H2880">
        <v>28.8</v>
      </c>
      <c r="I2880">
        <v>0</v>
      </c>
      <c r="J2880">
        <v>8</v>
      </c>
      <c r="M2880">
        <v>8</v>
      </c>
      <c r="N2880">
        <v>0</v>
      </c>
      <c r="O2880">
        <v>0</v>
      </c>
      <c r="P2880">
        <v>36.799999999999997</v>
      </c>
      <c r="Q2880">
        <v>0</v>
      </c>
      <c r="R2880">
        <v>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0</v>
      </c>
      <c r="Y2880">
        <v>0</v>
      </c>
      <c r="Z2880">
        <v>3</v>
      </c>
      <c r="AA2880">
        <v>0</v>
      </c>
      <c r="AC2880">
        <v>39.799999999999997</v>
      </c>
    </row>
    <row r="2881" spans="1:29">
      <c r="A2881">
        <v>2874</v>
      </c>
      <c r="B2881">
        <v>909</v>
      </c>
      <c r="C2881" t="s">
        <v>1531</v>
      </c>
      <c r="D2881" t="s">
        <v>6074</v>
      </c>
      <c r="E2881" t="s">
        <v>79</v>
      </c>
      <c r="F2881" t="s">
        <v>6075</v>
      </c>
      <c r="G2881" t="str">
        <f>"00503850"</f>
        <v>00503850</v>
      </c>
      <c r="H2881">
        <v>28.8</v>
      </c>
      <c r="I2881">
        <v>0</v>
      </c>
      <c r="L2881">
        <v>4</v>
      </c>
      <c r="M2881">
        <v>4</v>
      </c>
      <c r="N2881">
        <v>4</v>
      </c>
      <c r="O2881">
        <v>0</v>
      </c>
      <c r="P2881">
        <v>36.799999999999997</v>
      </c>
      <c r="Q2881">
        <v>0</v>
      </c>
      <c r="R2881">
        <v>0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0</v>
      </c>
      <c r="Y2881">
        <v>0</v>
      </c>
      <c r="Z2881">
        <v>3</v>
      </c>
      <c r="AA2881">
        <v>0</v>
      </c>
      <c r="AC2881">
        <v>39.799999999999997</v>
      </c>
    </row>
    <row r="2882" spans="1:29">
      <c r="A2882">
        <v>2875</v>
      </c>
      <c r="B2882">
        <v>1626</v>
      </c>
      <c r="C2882" t="s">
        <v>6069</v>
      </c>
      <c r="D2882" t="s">
        <v>433</v>
      </c>
      <c r="E2882" t="s">
        <v>79</v>
      </c>
      <c r="F2882" t="s">
        <v>6070</v>
      </c>
      <c r="G2882" t="str">
        <f>"00562735"</f>
        <v>00562735</v>
      </c>
      <c r="H2882">
        <v>28.8</v>
      </c>
      <c r="I2882">
        <v>0</v>
      </c>
      <c r="L2882">
        <v>4</v>
      </c>
      <c r="M2882">
        <v>4</v>
      </c>
      <c r="N2882">
        <v>4</v>
      </c>
      <c r="O2882">
        <v>0</v>
      </c>
      <c r="P2882">
        <v>36.799999999999997</v>
      </c>
      <c r="Q2882">
        <v>0</v>
      </c>
      <c r="R2882">
        <v>0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0</v>
      </c>
      <c r="Y2882">
        <v>0</v>
      </c>
      <c r="Z2882">
        <v>3</v>
      </c>
      <c r="AA2882">
        <v>0</v>
      </c>
      <c r="AC2882">
        <v>39.799999999999997</v>
      </c>
    </row>
    <row r="2883" spans="1:29">
      <c r="A2883">
        <v>2876</v>
      </c>
      <c r="B2883">
        <v>4909</v>
      </c>
      <c r="C2883" t="s">
        <v>3448</v>
      </c>
      <c r="D2883" t="s">
        <v>27</v>
      </c>
      <c r="E2883" t="s">
        <v>79</v>
      </c>
      <c r="F2883" t="s">
        <v>6076</v>
      </c>
      <c r="G2883" t="str">
        <f>"00559369"</f>
        <v>00559369</v>
      </c>
      <c r="H2883">
        <v>28.8</v>
      </c>
      <c r="I2883">
        <v>0</v>
      </c>
      <c r="L2883">
        <v>4</v>
      </c>
      <c r="M2883">
        <v>4</v>
      </c>
      <c r="N2883">
        <v>4</v>
      </c>
      <c r="O2883">
        <v>0</v>
      </c>
      <c r="P2883">
        <v>36.799999999999997</v>
      </c>
      <c r="Q2883">
        <v>0</v>
      </c>
      <c r="R2883">
        <v>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  <c r="Y2883">
        <v>0</v>
      </c>
      <c r="Z2883">
        <v>3</v>
      </c>
      <c r="AA2883">
        <v>0</v>
      </c>
      <c r="AC2883">
        <v>39.799999999999997</v>
      </c>
    </row>
    <row r="2884" spans="1:29">
      <c r="A2884">
        <v>2877</v>
      </c>
      <c r="B2884">
        <v>1755</v>
      </c>
      <c r="C2884" t="s">
        <v>571</v>
      </c>
      <c r="D2884" t="s">
        <v>27</v>
      </c>
      <c r="E2884" t="s">
        <v>18</v>
      </c>
      <c r="F2884" t="s">
        <v>6077</v>
      </c>
      <c r="G2884" t="str">
        <f>"00530715"</f>
        <v>00530715</v>
      </c>
      <c r="H2884">
        <v>28.8</v>
      </c>
      <c r="I2884">
        <v>0</v>
      </c>
      <c r="M2884">
        <v>0</v>
      </c>
      <c r="N2884">
        <v>4</v>
      </c>
      <c r="O2884">
        <v>2</v>
      </c>
      <c r="P2884">
        <v>34.799999999999997</v>
      </c>
      <c r="Q2884">
        <v>5</v>
      </c>
      <c r="R2884">
        <v>5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0</v>
      </c>
      <c r="Y2884">
        <v>5</v>
      </c>
      <c r="Z2884">
        <v>0</v>
      </c>
      <c r="AA2884">
        <v>0</v>
      </c>
      <c r="AC2884">
        <v>39.799999999999997</v>
      </c>
    </row>
    <row r="2885" spans="1:29">
      <c r="A2885">
        <v>2878</v>
      </c>
      <c r="B2885">
        <v>1349</v>
      </c>
      <c r="C2885" t="s">
        <v>6078</v>
      </c>
      <c r="D2885" t="s">
        <v>179</v>
      </c>
      <c r="E2885" t="s">
        <v>36</v>
      </c>
      <c r="F2885" t="s">
        <v>6079</v>
      </c>
      <c r="G2885" t="str">
        <f>"201410000288"</f>
        <v>201410000288</v>
      </c>
      <c r="H2885">
        <v>28.8</v>
      </c>
      <c r="I2885">
        <v>0</v>
      </c>
      <c r="M2885">
        <v>0</v>
      </c>
      <c r="N2885">
        <v>4</v>
      </c>
      <c r="O2885">
        <v>0</v>
      </c>
      <c r="P2885">
        <v>32.799999999999997</v>
      </c>
      <c r="Q2885">
        <v>7</v>
      </c>
      <c r="R2885">
        <v>7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0</v>
      </c>
      <c r="Y2885">
        <v>7</v>
      </c>
      <c r="Z2885">
        <v>0</v>
      </c>
      <c r="AA2885">
        <v>0</v>
      </c>
      <c r="AC2885">
        <v>39.799999999999997</v>
      </c>
    </row>
    <row r="2886" spans="1:29">
      <c r="A2886">
        <v>2879</v>
      </c>
      <c r="B2886">
        <v>1199</v>
      </c>
      <c r="C2886" t="s">
        <v>6080</v>
      </c>
      <c r="D2886" t="s">
        <v>108</v>
      </c>
      <c r="E2886" t="s">
        <v>79</v>
      </c>
      <c r="F2886" t="s">
        <v>6081</v>
      </c>
      <c r="G2886" t="str">
        <f>"00003633"</f>
        <v>00003633</v>
      </c>
      <c r="H2886">
        <v>9.8000000000000007</v>
      </c>
      <c r="I2886">
        <v>0</v>
      </c>
      <c r="M2886">
        <v>0</v>
      </c>
      <c r="N2886">
        <v>0</v>
      </c>
      <c r="O2886">
        <v>0</v>
      </c>
      <c r="P2886">
        <v>9.8000000000000007</v>
      </c>
      <c r="Q2886">
        <v>30</v>
      </c>
      <c r="R2886">
        <v>30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0</v>
      </c>
      <c r="Y2886">
        <v>30</v>
      </c>
      <c r="Z2886">
        <v>0</v>
      </c>
      <c r="AA2886">
        <v>0</v>
      </c>
      <c r="AC2886">
        <v>39.799999999999997</v>
      </c>
    </row>
    <row r="2887" spans="1:29">
      <c r="A2887">
        <v>2880</v>
      </c>
      <c r="B2887">
        <v>2849</v>
      </c>
      <c r="C2887" t="s">
        <v>6082</v>
      </c>
      <c r="D2887" t="s">
        <v>95</v>
      </c>
      <c r="E2887" t="s">
        <v>1159</v>
      </c>
      <c r="F2887" t="s">
        <v>6083</v>
      </c>
      <c r="G2887" t="str">
        <f>"00642040"</f>
        <v>00642040</v>
      </c>
      <c r="H2887">
        <v>31.72</v>
      </c>
      <c r="I2887">
        <v>0</v>
      </c>
      <c r="L2887">
        <v>4</v>
      </c>
      <c r="M2887">
        <v>4</v>
      </c>
      <c r="N2887">
        <v>4</v>
      </c>
      <c r="O2887">
        <v>0</v>
      </c>
      <c r="P2887">
        <v>39.72</v>
      </c>
      <c r="Q2887">
        <v>0</v>
      </c>
      <c r="R2887">
        <v>0</v>
      </c>
      <c r="S2887">
        <v>0</v>
      </c>
      <c r="T2887">
        <v>0</v>
      </c>
      <c r="U2887">
        <v>0</v>
      </c>
      <c r="V2887">
        <v>0</v>
      </c>
      <c r="W2887">
        <v>0</v>
      </c>
      <c r="X2887">
        <v>0</v>
      </c>
      <c r="Y2887">
        <v>0</v>
      </c>
      <c r="Z2887">
        <v>0</v>
      </c>
      <c r="AA2887">
        <v>0</v>
      </c>
      <c r="AC2887">
        <v>39.72</v>
      </c>
    </row>
    <row r="2888" spans="1:29">
      <c r="A2888">
        <v>2881</v>
      </c>
      <c r="B2888">
        <v>3501</v>
      </c>
      <c r="C2888" t="s">
        <v>2673</v>
      </c>
      <c r="D2888" t="s">
        <v>141</v>
      </c>
      <c r="E2888" t="s">
        <v>1450</v>
      </c>
      <c r="F2888" t="s">
        <v>6084</v>
      </c>
      <c r="G2888" t="str">
        <f>"00519922"</f>
        <v>00519922</v>
      </c>
      <c r="H2888">
        <v>16.72</v>
      </c>
      <c r="I2888">
        <v>0</v>
      </c>
      <c r="M2888">
        <v>0</v>
      </c>
      <c r="N2888">
        <v>0</v>
      </c>
      <c r="O2888">
        <v>0</v>
      </c>
      <c r="P2888">
        <v>16.72</v>
      </c>
      <c r="Q2888">
        <v>23</v>
      </c>
      <c r="R2888">
        <v>23</v>
      </c>
      <c r="S2888">
        <v>0</v>
      </c>
      <c r="T2888">
        <v>0</v>
      </c>
      <c r="U2888">
        <v>0</v>
      </c>
      <c r="V2888">
        <v>0</v>
      </c>
      <c r="W2888">
        <v>0</v>
      </c>
      <c r="X2888">
        <v>0</v>
      </c>
      <c r="Y2888">
        <v>23</v>
      </c>
      <c r="Z2888">
        <v>0</v>
      </c>
      <c r="AA2888">
        <v>0</v>
      </c>
      <c r="AC2888">
        <v>39.72</v>
      </c>
    </row>
    <row r="2889" spans="1:29">
      <c r="A2889">
        <v>2882</v>
      </c>
      <c r="B2889">
        <v>4009</v>
      </c>
      <c r="C2889" t="s">
        <v>6085</v>
      </c>
      <c r="D2889" t="s">
        <v>147</v>
      </c>
      <c r="E2889" t="s">
        <v>904</v>
      </c>
      <c r="F2889" t="s">
        <v>6086</v>
      </c>
      <c r="G2889" t="str">
        <f>"00856995"</f>
        <v>00856995</v>
      </c>
      <c r="H2889">
        <v>27.64</v>
      </c>
      <c r="I2889">
        <v>0</v>
      </c>
      <c r="M2889">
        <v>0</v>
      </c>
      <c r="N2889">
        <v>4</v>
      </c>
      <c r="O2889">
        <v>2</v>
      </c>
      <c r="P2889">
        <v>33.64</v>
      </c>
      <c r="Q2889">
        <v>0</v>
      </c>
      <c r="R2889">
        <v>0</v>
      </c>
      <c r="S2889">
        <v>0</v>
      </c>
      <c r="T2889">
        <v>0</v>
      </c>
      <c r="U2889">
        <v>0</v>
      </c>
      <c r="V2889">
        <v>0</v>
      </c>
      <c r="W2889">
        <v>0</v>
      </c>
      <c r="X2889">
        <v>0</v>
      </c>
      <c r="Y2889">
        <v>0</v>
      </c>
      <c r="Z2889">
        <v>6</v>
      </c>
      <c r="AA2889">
        <v>0</v>
      </c>
      <c r="AC2889">
        <v>39.64</v>
      </c>
    </row>
    <row r="2890" spans="1:29">
      <c r="A2890">
        <v>2883</v>
      </c>
      <c r="B2890">
        <v>4954</v>
      </c>
      <c r="C2890" t="s">
        <v>1539</v>
      </c>
      <c r="D2890" t="s">
        <v>739</v>
      </c>
      <c r="E2890" t="s">
        <v>1527</v>
      </c>
      <c r="F2890" t="s">
        <v>6087</v>
      </c>
      <c r="G2890" t="str">
        <f>"00283402"</f>
        <v>00283402</v>
      </c>
      <c r="H2890">
        <v>21.6</v>
      </c>
      <c r="I2890">
        <v>0</v>
      </c>
      <c r="M2890">
        <v>0</v>
      </c>
      <c r="N2890">
        <v>4</v>
      </c>
      <c r="O2890">
        <v>2</v>
      </c>
      <c r="P2890">
        <v>27.6</v>
      </c>
      <c r="Q2890">
        <v>0</v>
      </c>
      <c r="R2890">
        <v>0</v>
      </c>
      <c r="S2890">
        <v>0</v>
      </c>
      <c r="T2890">
        <v>0</v>
      </c>
      <c r="U2890">
        <v>0</v>
      </c>
      <c r="V2890">
        <v>0</v>
      </c>
      <c r="W2890">
        <v>0</v>
      </c>
      <c r="X2890">
        <v>0</v>
      </c>
      <c r="Y2890">
        <v>0</v>
      </c>
      <c r="Z2890">
        <v>12</v>
      </c>
      <c r="AA2890">
        <v>0</v>
      </c>
      <c r="AC2890">
        <v>39.6</v>
      </c>
    </row>
    <row r="2891" spans="1:29">
      <c r="A2891">
        <v>2884</v>
      </c>
      <c r="B2891">
        <v>1275</v>
      </c>
      <c r="C2891" t="s">
        <v>6088</v>
      </c>
      <c r="D2891" t="s">
        <v>3733</v>
      </c>
      <c r="E2891" t="s">
        <v>410</v>
      </c>
      <c r="F2891" t="s">
        <v>6089</v>
      </c>
      <c r="G2891" t="str">
        <f>"00858140"</f>
        <v>00858140</v>
      </c>
      <c r="H2891">
        <v>21.6</v>
      </c>
      <c r="I2891">
        <v>0</v>
      </c>
      <c r="J2891">
        <v>8</v>
      </c>
      <c r="M2891">
        <v>8</v>
      </c>
      <c r="N2891">
        <v>4</v>
      </c>
      <c r="O2891">
        <v>0</v>
      </c>
      <c r="P2891">
        <v>33.6</v>
      </c>
      <c r="Q2891">
        <v>0</v>
      </c>
      <c r="R2891">
        <v>0</v>
      </c>
      <c r="S2891">
        <v>0</v>
      </c>
      <c r="T2891">
        <v>0</v>
      </c>
      <c r="U2891">
        <v>0</v>
      </c>
      <c r="V2891">
        <v>0</v>
      </c>
      <c r="W2891">
        <v>0</v>
      </c>
      <c r="X2891">
        <v>0</v>
      </c>
      <c r="Y2891">
        <v>0</v>
      </c>
      <c r="Z2891">
        <v>6</v>
      </c>
      <c r="AA2891">
        <v>0</v>
      </c>
      <c r="AC2891">
        <v>39.6</v>
      </c>
    </row>
    <row r="2892" spans="1:29">
      <c r="A2892">
        <v>2885</v>
      </c>
      <c r="B2892">
        <v>3015</v>
      </c>
      <c r="C2892" t="s">
        <v>6090</v>
      </c>
      <c r="D2892" t="s">
        <v>130</v>
      </c>
      <c r="E2892" t="s">
        <v>36</v>
      </c>
      <c r="F2892" t="s">
        <v>6091</v>
      </c>
      <c r="G2892" t="str">
        <f>"200905000598"</f>
        <v>200905000598</v>
      </c>
      <c r="H2892">
        <v>21.6</v>
      </c>
      <c r="I2892">
        <v>0</v>
      </c>
      <c r="M2892">
        <v>0</v>
      </c>
      <c r="N2892">
        <v>4</v>
      </c>
      <c r="O2892">
        <v>2</v>
      </c>
      <c r="P2892">
        <v>27.6</v>
      </c>
      <c r="Q2892">
        <v>6</v>
      </c>
      <c r="R2892">
        <v>6</v>
      </c>
      <c r="S2892">
        <v>0</v>
      </c>
      <c r="T2892">
        <v>0</v>
      </c>
      <c r="U2892">
        <v>0</v>
      </c>
      <c r="V2892">
        <v>0</v>
      </c>
      <c r="W2892">
        <v>0</v>
      </c>
      <c r="X2892">
        <v>0</v>
      </c>
      <c r="Y2892">
        <v>6</v>
      </c>
      <c r="Z2892">
        <v>6</v>
      </c>
      <c r="AA2892">
        <v>0</v>
      </c>
      <c r="AC2892">
        <v>39.6</v>
      </c>
    </row>
    <row r="2893" spans="1:29">
      <c r="A2893">
        <v>2886</v>
      </c>
      <c r="B2893">
        <v>998</v>
      </c>
      <c r="C2893" t="s">
        <v>6092</v>
      </c>
      <c r="D2893" t="s">
        <v>185</v>
      </c>
      <c r="E2893" t="s">
        <v>28</v>
      </c>
      <c r="F2893" t="s">
        <v>6093</v>
      </c>
      <c r="G2893" t="str">
        <f>"00233120"</f>
        <v>00233120</v>
      </c>
      <c r="H2893">
        <v>21.6</v>
      </c>
      <c r="I2893">
        <v>0</v>
      </c>
      <c r="M2893">
        <v>0</v>
      </c>
      <c r="N2893">
        <v>4</v>
      </c>
      <c r="O2893">
        <v>0</v>
      </c>
      <c r="P2893">
        <v>25.6</v>
      </c>
      <c r="Q2893">
        <v>8</v>
      </c>
      <c r="R2893">
        <v>8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8</v>
      </c>
      <c r="Z2893">
        <v>6</v>
      </c>
      <c r="AA2893">
        <v>0</v>
      </c>
      <c r="AC2893">
        <v>39.6</v>
      </c>
    </row>
    <row r="2894" spans="1:29">
      <c r="A2894">
        <v>2887</v>
      </c>
      <c r="B2894">
        <v>353</v>
      </c>
      <c r="C2894" t="s">
        <v>6094</v>
      </c>
      <c r="D2894" t="s">
        <v>141</v>
      </c>
      <c r="E2894" t="s">
        <v>15</v>
      </c>
      <c r="F2894" t="s">
        <v>6095</v>
      </c>
      <c r="G2894" t="str">
        <f>"00376983"</f>
        <v>00376983</v>
      </c>
      <c r="H2894">
        <v>24.6</v>
      </c>
      <c r="I2894">
        <v>0</v>
      </c>
      <c r="J2894">
        <v>8</v>
      </c>
      <c r="M2894">
        <v>8</v>
      </c>
      <c r="N2894">
        <v>4</v>
      </c>
      <c r="O2894">
        <v>0</v>
      </c>
      <c r="P2894">
        <v>36.6</v>
      </c>
      <c r="Q2894">
        <v>0</v>
      </c>
      <c r="R2894">
        <v>0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0</v>
      </c>
      <c r="Y2894">
        <v>0</v>
      </c>
      <c r="Z2894">
        <v>3</v>
      </c>
      <c r="AA2894">
        <v>0</v>
      </c>
      <c r="AC2894">
        <v>39.6</v>
      </c>
    </row>
    <row r="2895" spans="1:29">
      <c r="A2895">
        <v>2888</v>
      </c>
      <c r="B2895">
        <v>1690</v>
      </c>
      <c r="C2895" t="s">
        <v>6102</v>
      </c>
      <c r="D2895" t="s">
        <v>27</v>
      </c>
      <c r="E2895" t="s">
        <v>79</v>
      </c>
      <c r="F2895" t="s">
        <v>6103</v>
      </c>
      <c r="G2895" t="str">
        <f>"00865223"</f>
        <v>00865223</v>
      </c>
      <c r="H2895">
        <v>39.6</v>
      </c>
      <c r="I2895">
        <v>0</v>
      </c>
      <c r="M2895">
        <v>0</v>
      </c>
      <c r="N2895">
        <v>0</v>
      </c>
      <c r="O2895">
        <v>0</v>
      </c>
      <c r="P2895">
        <v>39.6</v>
      </c>
      <c r="Q2895">
        <v>0</v>
      </c>
      <c r="R2895">
        <v>0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0</v>
      </c>
      <c r="Y2895">
        <v>0</v>
      </c>
      <c r="Z2895">
        <v>0</v>
      </c>
      <c r="AA2895">
        <v>0</v>
      </c>
      <c r="AC2895">
        <v>39.6</v>
      </c>
    </row>
    <row r="2896" spans="1:29">
      <c r="A2896">
        <v>2889</v>
      </c>
      <c r="B2896">
        <v>4844</v>
      </c>
      <c r="C2896" t="s">
        <v>6100</v>
      </c>
      <c r="D2896" t="s">
        <v>1318</v>
      </c>
      <c r="E2896" t="s">
        <v>66</v>
      </c>
      <c r="F2896" t="s">
        <v>6101</v>
      </c>
      <c r="G2896" t="str">
        <f>"00258952"</f>
        <v>00258952</v>
      </c>
      <c r="H2896">
        <v>39.6</v>
      </c>
      <c r="I2896">
        <v>0</v>
      </c>
      <c r="M2896">
        <v>0</v>
      </c>
      <c r="N2896">
        <v>0</v>
      </c>
      <c r="O2896">
        <v>0</v>
      </c>
      <c r="P2896">
        <v>39.6</v>
      </c>
      <c r="Q2896">
        <v>0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0</v>
      </c>
      <c r="Y2896">
        <v>0</v>
      </c>
      <c r="Z2896">
        <v>0</v>
      </c>
      <c r="AA2896">
        <v>0</v>
      </c>
      <c r="AC2896">
        <v>39.6</v>
      </c>
    </row>
    <row r="2897" spans="1:29">
      <c r="A2897">
        <v>2890</v>
      </c>
      <c r="B2897">
        <v>1117</v>
      </c>
      <c r="C2897" t="s">
        <v>6096</v>
      </c>
      <c r="D2897" t="s">
        <v>6097</v>
      </c>
      <c r="E2897" t="s">
        <v>6098</v>
      </c>
      <c r="F2897" t="s">
        <v>6099</v>
      </c>
      <c r="G2897" t="str">
        <f>"00683478"</f>
        <v>00683478</v>
      </c>
      <c r="H2897">
        <v>39.6</v>
      </c>
      <c r="I2897">
        <v>0</v>
      </c>
      <c r="M2897">
        <v>0</v>
      </c>
      <c r="N2897">
        <v>0</v>
      </c>
      <c r="O2897">
        <v>0</v>
      </c>
      <c r="P2897">
        <v>39.6</v>
      </c>
      <c r="Q2897">
        <v>0</v>
      </c>
      <c r="R2897">
        <v>0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0</v>
      </c>
      <c r="Y2897">
        <v>0</v>
      </c>
      <c r="Z2897">
        <v>0</v>
      </c>
      <c r="AA2897">
        <v>0</v>
      </c>
      <c r="AC2897">
        <v>39.6</v>
      </c>
    </row>
    <row r="2898" spans="1:29">
      <c r="A2898">
        <v>2891</v>
      </c>
      <c r="B2898">
        <v>3197</v>
      </c>
      <c r="C2898" t="s">
        <v>6104</v>
      </c>
      <c r="D2898" t="s">
        <v>27</v>
      </c>
      <c r="E2898" t="s">
        <v>28</v>
      </c>
      <c r="F2898" t="s">
        <v>6105</v>
      </c>
      <c r="G2898" t="str">
        <f>"00556275"</f>
        <v>00556275</v>
      </c>
      <c r="H2898">
        <v>35.6</v>
      </c>
      <c r="I2898">
        <v>0</v>
      </c>
      <c r="M2898">
        <v>0</v>
      </c>
      <c r="N2898">
        <v>4</v>
      </c>
      <c r="O2898">
        <v>0</v>
      </c>
      <c r="P2898">
        <v>39.6</v>
      </c>
      <c r="Q2898">
        <v>0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0</v>
      </c>
      <c r="Z2898">
        <v>0</v>
      </c>
      <c r="AA2898">
        <v>0</v>
      </c>
      <c r="AC2898">
        <v>39.6</v>
      </c>
    </row>
    <row r="2899" spans="1:29">
      <c r="A2899">
        <v>2892</v>
      </c>
      <c r="B2899">
        <v>537</v>
      </c>
      <c r="C2899" t="s">
        <v>6108</v>
      </c>
      <c r="D2899" t="s">
        <v>205</v>
      </c>
      <c r="E2899" t="s">
        <v>28</v>
      </c>
      <c r="F2899" t="s">
        <v>6109</v>
      </c>
      <c r="G2899" t="str">
        <f>"00856301"</f>
        <v>00856301</v>
      </c>
      <c r="H2899">
        <v>35.6</v>
      </c>
      <c r="I2899">
        <v>0</v>
      </c>
      <c r="L2899">
        <v>4</v>
      </c>
      <c r="M2899">
        <v>4</v>
      </c>
      <c r="N2899">
        <v>0</v>
      </c>
      <c r="O2899">
        <v>0</v>
      </c>
      <c r="P2899">
        <v>39.6</v>
      </c>
      <c r="Q2899">
        <v>0</v>
      </c>
      <c r="R2899">
        <v>0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0</v>
      </c>
      <c r="Y2899">
        <v>0</v>
      </c>
      <c r="Z2899">
        <v>0</v>
      </c>
      <c r="AA2899">
        <v>0</v>
      </c>
      <c r="AC2899">
        <v>39.6</v>
      </c>
    </row>
    <row r="2900" spans="1:29">
      <c r="A2900">
        <v>2893</v>
      </c>
      <c r="B2900">
        <v>1969</v>
      </c>
      <c r="C2900" t="s">
        <v>6106</v>
      </c>
      <c r="D2900" t="s">
        <v>113</v>
      </c>
      <c r="E2900" t="s">
        <v>53</v>
      </c>
      <c r="F2900" t="s">
        <v>6107</v>
      </c>
      <c r="G2900" t="str">
        <f>"00216004"</f>
        <v>00216004</v>
      </c>
      <c r="H2900">
        <v>35.6</v>
      </c>
      <c r="I2900">
        <v>0</v>
      </c>
      <c r="M2900">
        <v>0</v>
      </c>
      <c r="N2900">
        <v>4</v>
      </c>
      <c r="O2900">
        <v>0</v>
      </c>
      <c r="P2900">
        <v>39.6</v>
      </c>
      <c r="Q2900">
        <v>0</v>
      </c>
      <c r="R2900">
        <v>0</v>
      </c>
      <c r="S2900">
        <v>0</v>
      </c>
      <c r="T2900">
        <v>0</v>
      </c>
      <c r="U2900">
        <v>0</v>
      </c>
      <c r="V2900">
        <v>0</v>
      </c>
      <c r="W2900">
        <v>0</v>
      </c>
      <c r="X2900">
        <v>0</v>
      </c>
      <c r="Y2900">
        <v>0</v>
      </c>
      <c r="Z2900">
        <v>0</v>
      </c>
      <c r="AA2900">
        <v>0</v>
      </c>
      <c r="AC2900">
        <v>39.6</v>
      </c>
    </row>
    <row r="2901" spans="1:29">
      <c r="A2901">
        <v>2894</v>
      </c>
      <c r="B2901">
        <v>1877</v>
      </c>
      <c r="C2901" t="s">
        <v>3383</v>
      </c>
      <c r="D2901" t="s">
        <v>1370</v>
      </c>
      <c r="E2901" t="s">
        <v>134</v>
      </c>
      <c r="F2901" t="s">
        <v>6110</v>
      </c>
      <c r="G2901" t="str">
        <f>"00855133"</f>
        <v>00855133</v>
      </c>
      <c r="H2901">
        <v>29.6</v>
      </c>
      <c r="I2901">
        <v>10</v>
      </c>
      <c r="M2901">
        <v>0</v>
      </c>
      <c r="N2901">
        <v>0</v>
      </c>
      <c r="O2901">
        <v>0</v>
      </c>
      <c r="P2901">
        <v>39.6</v>
      </c>
      <c r="Q2901">
        <v>0</v>
      </c>
      <c r="R2901">
        <v>0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0</v>
      </c>
      <c r="Z2901">
        <v>0</v>
      </c>
      <c r="AA2901">
        <v>0</v>
      </c>
      <c r="AC2901">
        <v>39.6</v>
      </c>
    </row>
    <row r="2902" spans="1:29">
      <c r="A2902">
        <v>2895</v>
      </c>
      <c r="B2902">
        <v>3100</v>
      </c>
      <c r="C2902" t="s">
        <v>4884</v>
      </c>
      <c r="D2902" t="s">
        <v>784</v>
      </c>
      <c r="E2902" t="s">
        <v>6111</v>
      </c>
      <c r="F2902" t="s">
        <v>6112</v>
      </c>
      <c r="G2902" t="str">
        <f>"00802814"</f>
        <v>00802814</v>
      </c>
      <c r="H2902">
        <v>21.6</v>
      </c>
      <c r="I2902">
        <v>10</v>
      </c>
      <c r="L2902">
        <v>4</v>
      </c>
      <c r="M2902">
        <v>4</v>
      </c>
      <c r="N2902">
        <v>4</v>
      </c>
      <c r="O2902">
        <v>0</v>
      </c>
      <c r="P2902">
        <v>39.6</v>
      </c>
      <c r="Q2902">
        <v>0</v>
      </c>
      <c r="R2902">
        <v>0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0</v>
      </c>
      <c r="Y2902">
        <v>0</v>
      </c>
      <c r="Z2902">
        <v>0</v>
      </c>
      <c r="AA2902">
        <v>0</v>
      </c>
      <c r="AC2902">
        <v>39.6</v>
      </c>
    </row>
    <row r="2903" spans="1:29">
      <c r="A2903">
        <v>2896</v>
      </c>
      <c r="B2903">
        <v>2033</v>
      </c>
      <c r="C2903" t="s">
        <v>6113</v>
      </c>
      <c r="D2903" t="s">
        <v>147</v>
      </c>
      <c r="E2903" t="s">
        <v>115</v>
      </c>
      <c r="F2903" t="s">
        <v>6114</v>
      </c>
      <c r="G2903" t="str">
        <f>"00512420"</f>
        <v>00512420</v>
      </c>
      <c r="H2903">
        <v>25.6</v>
      </c>
      <c r="I2903">
        <v>0</v>
      </c>
      <c r="L2903">
        <v>4</v>
      </c>
      <c r="M2903">
        <v>4</v>
      </c>
      <c r="N2903">
        <v>4</v>
      </c>
      <c r="O2903">
        <v>0</v>
      </c>
      <c r="P2903">
        <v>33.6</v>
      </c>
      <c r="Q2903">
        <v>6</v>
      </c>
      <c r="R2903">
        <v>6</v>
      </c>
      <c r="S2903">
        <v>0</v>
      </c>
      <c r="T2903">
        <v>0</v>
      </c>
      <c r="U2903">
        <v>0</v>
      </c>
      <c r="V2903">
        <v>0</v>
      </c>
      <c r="W2903">
        <v>0</v>
      </c>
      <c r="X2903">
        <v>0</v>
      </c>
      <c r="Y2903">
        <v>6</v>
      </c>
      <c r="Z2903">
        <v>0</v>
      </c>
      <c r="AA2903">
        <v>0</v>
      </c>
      <c r="AC2903">
        <v>39.6</v>
      </c>
    </row>
    <row r="2904" spans="1:29">
      <c r="A2904">
        <v>2897</v>
      </c>
      <c r="B2904">
        <v>3980</v>
      </c>
      <c r="C2904" t="s">
        <v>6115</v>
      </c>
      <c r="D2904" t="s">
        <v>164</v>
      </c>
      <c r="E2904" t="s">
        <v>115</v>
      </c>
      <c r="F2904" t="s">
        <v>6116</v>
      </c>
      <c r="G2904" t="str">
        <f>"00533774"</f>
        <v>00533774</v>
      </c>
      <c r="H2904">
        <v>21.6</v>
      </c>
      <c r="I2904">
        <v>0</v>
      </c>
      <c r="L2904">
        <v>4</v>
      </c>
      <c r="M2904">
        <v>4</v>
      </c>
      <c r="N2904">
        <v>4</v>
      </c>
      <c r="O2904">
        <v>2</v>
      </c>
      <c r="P2904">
        <v>31.6</v>
      </c>
      <c r="Q2904">
        <v>8</v>
      </c>
      <c r="R2904">
        <v>8</v>
      </c>
      <c r="S2904">
        <v>0</v>
      </c>
      <c r="T2904">
        <v>0</v>
      </c>
      <c r="U2904">
        <v>0</v>
      </c>
      <c r="V2904">
        <v>0</v>
      </c>
      <c r="W2904">
        <v>0</v>
      </c>
      <c r="X2904">
        <v>0</v>
      </c>
      <c r="Y2904">
        <v>8</v>
      </c>
      <c r="Z2904">
        <v>0</v>
      </c>
      <c r="AA2904">
        <v>0</v>
      </c>
      <c r="AC2904">
        <v>39.6</v>
      </c>
    </row>
    <row r="2905" spans="1:29">
      <c r="A2905">
        <v>2898</v>
      </c>
      <c r="B2905">
        <v>1788</v>
      </c>
      <c r="C2905" t="s">
        <v>675</v>
      </c>
      <c r="D2905" t="s">
        <v>465</v>
      </c>
      <c r="E2905" t="s">
        <v>227</v>
      </c>
      <c r="F2905" t="s">
        <v>6117</v>
      </c>
      <c r="G2905" t="str">
        <f>"00527550"</f>
        <v>00527550</v>
      </c>
      <c r="H2905">
        <v>11.48</v>
      </c>
      <c r="I2905">
        <v>10</v>
      </c>
      <c r="M2905">
        <v>0</v>
      </c>
      <c r="N2905">
        <v>4</v>
      </c>
      <c r="O2905">
        <v>0</v>
      </c>
      <c r="P2905">
        <v>25.48</v>
      </c>
      <c r="Q2905">
        <v>8</v>
      </c>
      <c r="R2905">
        <v>8</v>
      </c>
      <c r="S2905">
        <v>0</v>
      </c>
      <c r="T2905">
        <v>0</v>
      </c>
      <c r="U2905">
        <v>0</v>
      </c>
      <c r="V2905">
        <v>0</v>
      </c>
      <c r="W2905">
        <v>0</v>
      </c>
      <c r="X2905">
        <v>0</v>
      </c>
      <c r="Y2905">
        <v>8</v>
      </c>
      <c r="Z2905">
        <v>6</v>
      </c>
      <c r="AA2905">
        <v>0</v>
      </c>
      <c r="AC2905">
        <v>39.479999999999997</v>
      </c>
    </row>
    <row r="2906" spans="1:29">
      <c r="A2906">
        <v>2899</v>
      </c>
      <c r="B2906">
        <v>617</v>
      </c>
      <c r="C2906" t="s">
        <v>6118</v>
      </c>
      <c r="D2906" t="s">
        <v>27</v>
      </c>
      <c r="E2906" t="s">
        <v>233</v>
      </c>
      <c r="F2906" t="s">
        <v>6119</v>
      </c>
      <c r="G2906" t="str">
        <f>"00366785"</f>
        <v>00366785</v>
      </c>
      <c r="H2906">
        <v>33.44</v>
      </c>
      <c r="I2906">
        <v>0</v>
      </c>
      <c r="L2906">
        <v>4</v>
      </c>
      <c r="M2906">
        <v>4</v>
      </c>
      <c r="N2906">
        <v>0</v>
      </c>
      <c r="O2906">
        <v>2</v>
      </c>
      <c r="P2906">
        <v>39.44</v>
      </c>
      <c r="Q2906">
        <v>0</v>
      </c>
      <c r="R2906">
        <v>0</v>
      </c>
      <c r="S2906">
        <v>0</v>
      </c>
      <c r="T2906">
        <v>0</v>
      </c>
      <c r="U2906">
        <v>0</v>
      </c>
      <c r="V2906">
        <v>0</v>
      </c>
      <c r="W2906">
        <v>0</v>
      </c>
      <c r="X2906">
        <v>0</v>
      </c>
      <c r="Y2906">
        <v>0</v>
      </c>
      <c r="Z2906">
        <v>0</v>
      </c>
      <c r="AA2906">
        <v>0</v>
      </c>
      <c r="AC2906">
        <v>39.44</v>
      </c>
    </row>
    <row r="2907" spans="1:29">
      <c r="A2907">
        <v>2900</v>
      </c>
      <c r="B2907">
        <v>469</v>
      </c>
      <c r="C2907" t="s">
        <v>6120</v>
      </c>
      <c r="D2907" t="s">
        <v>185</v>
      </c>
      <c r="E2907" t="s">
        <v>15</v>
      </c>
      <c r="F2907" t="s">
        <v>6121</v>
      </c>
      <c r="G2907" t="str">
        <f>"00292941"</f>
        <v>00292941</v>
      </c>
      <c r="H2907">
        <v>14.4</v>
      </c>
      <c r="I2907">
        <v>0</v>
      </c>
      <c r="J2907">
        <v>8</v>
      </c>
      <c r="M2907">
        <v>8</v>
      </c>
      <c r="N2907">
        <v>4</v>
      </c>
      <c r="O2907">
        <v>0</v>
      </c>
      <c r="P2907">
        <v>26.4</v>
      </c>
      <c r="Q2907">
        <v>7</v>
      </c>
      <c r="R2907">
        <v>7</v>
      </c>
      <c r="S2907">
        <v>0</v>
      </c>
      <c r="T2907">
        <v>0</v>
      </c>
      <c r="U2907">
        <v>0</v>
      </c>
      <c r="V2907">
        <v>0</v>
      </c>
      <c r="W2907">
        <v>0</v>
      </c>
      <c r="X2907">
        <v>0</v>
      </c>
      <c r="Y2907">
        <v>7</v>
      </c>
      <c r="Z2907">
        <v>6</v>
      </c>
      <c r="AA2907">
        <v>0</v>
      </c>
      <c r="AC2907">
        <v>39.4</v>
      </c>
    </row>
    <row r="2908" spans="1:29">
      <c r="A2908">
        <v>2901</v>
      </c>
      <c r="B2908">
        <v>3206</v>
      </c>
      <c r="C2908" t="s">
        <v>6122</v>
      </c>
      <c r="D2908" t="s">
        <v>52</v>
      </c>
      <c r="E2908" t="s">
        <v>18</v>
      </c>
      <c r="F2908" t="s">
        <v>6123</v>
      </c>
      <c r="G2908" t="str">
        <f>"00545711"</f>
        <v>00545711</v>
      </c>
      <c r="H2908">
        <v>25.32</v>
      </c>
      <c r="I2908">
        <v>0</v>
      </c>
      <c r="L2908">
        <v>4</v>
      </c>
      <c r="M2908">
        <v>4</v>
      </c>
      <c r="N2908">
        <v>4</v>
      </c>
      <c r="O2908">
        <v>0</v>
      </c>
      <c r="P2908">
        <v>33.32</v>
      </c>
      <c r="Q2908">
        <v>0</v>
      </c>
      <c r="R2908">
        <v>0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  <c r="Y2908">
        <v>0</v>
      </c>
      <c r="Z2908">
        <v>6</v>
      </c>
      <c r="AA2908">
        <v>0</v>
      </c>
      <c r="AC2908">
        <v>39.32</v>
      </c>
    </row>
    <row r="2909" spans="1:29">
      <c r="A2909">
        <v>2902</v>
      </c>
      <c r="B2909">
        <v>371</v>
      </c>
      <c r="C2909" t="s">
        <v>3417</v>
      </c>
      <c r="D2909" t="s">
        <v>27</v>
      </c>
      <c r="E2909" t="s">
        <v>79</v>
      </c>
      <c r="F2909" t="s">
        <v>6124</v>
      </c>
      <c r="G2909" t="str">
        <f>"00533953"</f>
        <v>00533953</v>
      </c>
      <c r="H2909">
        <v>17.32</v>
      </c>
      <c r="I2909">
        <v>10</v>
      </c>
      <c r="M2909">
        <v>0</v>
      </c>
      <c r="N2909">
        <v>4</v>
      </c>
      <c r="O2909">
        <v>0</v>
      </c>
      <c r="P2909">
        <v>31.32</v>
      </c>
      <c r="Q2909">
        <v>2</v>
      </c>
      <c r="R2909">
        <v>2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2</v>
      </c>
      <c r="Z2909">
        <v>6</v>
      </c>
      <c r="AA2909">
        <v>0</v>
      </c>
      <c r="AC2909">
        <v>39.32</v>
      </c>
    </row>
    <row r="2910" spans="1:29">
      <c r="A2910">
        <v>2903</v>
      </c>
      <c r="B2910">
        <v>579</v>
      </c>
      <c r="C2910" t="s">
        <v>6125</v>
      </c>
      <c r="D2910" t="s">
        <v>27</v>
      </c>
      <c r="E2910" t="s">
        <v>6126</v>
      </c>
      <c r="F2910" t="s">
        <v>6127</v>
      </c>
      <c r="G2910" t="str">
        <f>"00497792"</f>
        <v>00497792</v>
      </c>
      <c r="H2910">
        <v>32.32</v>
      </c>
      <c r="I2910">
        <v>0</v>
      </c>
      <c r="M2910">
        <v>0</v>
      </c>
      <c r="N2910">
        <v>4</v>
      </c>
      <c r="O2910">
        <v>0</v>
      </c>
      <c r="P2910">
        <v>36.32</v>
      </c>
      <c r="Q2910">
        <v>0</v>
      </c>
      <c r="R2910">
        <v>0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0</v>
      </c>
      <c r="Z2910">
        <v>3</v>
      </c>
      <c r="AA2910">
        <v>0</v>
      </c>
      <c r="AC2910">
        <v>39.32</v>
      </c>
    </row>
    <row r="2911" spans="1:29">
      <c r="A2911">
        <v>2904</v>
      </c>
      <c r="B2911">
        <v>4444</v>
      </c>
      <c r="C2911" t="s">
        <v>6128</v>
      </c>
      <c r="D2911" t="s">
        <v>175</v>
      </c>
      <c r="E2911" t="s">
        <v>18</v>
      </c>
      <c r="F2911" t="s">
        <v>6129</v>
      </c>
      <c r="G2911" t="str">
        <f>"00506130"</f>
        <v>00506130</v>
      </c>
      <c r="H2911">
        <v>7.2</v>
      </c>
      <c r="I2911">
        <v>0</v>
      </c>
      <c r="M2911">
        <v>0</v>
      </c>
      <c r="N2911">
        <v>4</v>
      </c>
      <c r="O2911">
        <v>0</v>
      </c>
      <c r="P2911">
        <v>11.2</v>
      </c>
      <c r="Q2911">
        <v>19</v>
      </c>
      <c r="R2911">
        <v>19</v>
      </c>
      <c r="S2911">
        <v>0</v>
      </c>
      <c r="T2911">
        <v>0</v>
      </c>
      <c r="U2911">
        <v>0</v>
      </c>
      <c r="V2911">
        <v>0</v>
      </c>
      <c r="W2911">
        <v>0</v>
      </c>
      <c r="X2911">
        <v>0</v>
      </c>
      <c r="Y2911">
        <v>19</v>
      </c>
      <c r="Z2911">
        <v>9</v>
      </c>
      <c r="AA2911">
        <v>0</v>
      </c>
      <c r="AC2911">
        <v>39.200000000000003</v>
      </c>
    </row>
    <row r="2912" spans="1:29">
      <c r="A2912">
        <v>2905</v>
      </c>
      <c r="B2912">
        <v>1814</v>
      </c>
      <c r="C2912" t="s">
        <v>6130</v>
      </c>
      <c r="D2912" t="s">
        <v>2473</v>
      </c>
      <c r="E2912" t="s">
        <v>15</v>
      </c>
      <c r="F2912" t="s">
        <v>6131</v>
      </c>
      <c r="G2912" t="str">
        <f>"00594140"</f>
        <v>00594140</v>
      </c>
      <c r="H2912">
        <v>39.200000000000003</v>
      </c>
      <c r="I2912">
        <v>0</v>
      </c>
      <c r="M2912">
        <v>0</v>
      </c>
      <c r="N2912">
        <v>0</v>
      </c>
      <c r="O2912">
        <v>0</v>
      </c>
      <c r="P2912">
        <v>39.200000000000003</v>
      </c>
      <c r="Q2912">
        <v>0</v>
      </c>
      <c r="R2912">
        <v>0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0</v>
      </c>
      <c r="Z2912">
        <v>0</v>
      </c>
      <c r="AA2912">
        <v>0</v>
      </c>
      <c r="AC2912">
        <v>39.200000000000003</v>
      </c>
    </row>
    <row r="2913" spans="1:29">
      <c r="A2913">
        <v>2906</v>
      </c>
      <c r="B2913">
        <v>241</v>
      </c>
      <c r="C2913" t="s">
        <v>6132</v>
      </c>
      <c r="D2913" t="s">
        <v>52</v>
      </c>
      <c r="E2913" t="s">
        <v>66</v>
      </c>
      <c r="F2913" t="s">
        <v>6133</v>
      </c>
      <c r="G2913" t="str">
        <f>"00532373"</f>
        <v>00532373</v>
      </c>
      <c r="H2913">
        <v>35.200000000000003</v>
      </c>
      <c r="I2913">
        <v>0</v>
      </c>
      <c r="M2913">
        <v>0</v>
      </c>
      <c r="N2913">
        <v>4</v>
      </c>
      <c r="O2913">
        <v>0</v>
      </c>
      <c r="P2913">
        <v>39.200000000000003</v>
      </c>
      <c r="Q2913">
        <v>0</v>
      </c>
      <c r="R2913">
        <v>0</v>
      </c>
      <c r="S2913">
        <v>0</v>
      </c>
      <c r="T2913">
        <v>0</v>
      </c>
      <c r="U2913">
        <v>0</v>
      </c>
      <c r="V2913">
        <v>0</v>
      </c>
      <c r="W2913">
        <v>0</v>
      </c>
      <c r="X2913">
        <v>0</v>
      </c>
      <c r="Y2913">
        <v>0</v>
      </c>
      <c r="Z2913">
        <v>0</v>
      </c>
      <c r="AA2913">
        <v>0</v>
      </c>
      <c r="AC2913">
        <v>39.200000000000003</v>
      </c>
    </row>
    <row r="2914" spans="1:29">
      <c r="A2914">
        <v>2907</v>
      </c>
      <c r="B2914">
        <v>4003</v>
      </c>
      <c r="C2914" t="s">
        <v>6134</v>
      </c>
      <c r="D2914" t="s">
        <v>167</v>
      </c>
      <c r="E2914" t="s">
        <v>533</v>
      </c>
      <c r="F2914" t="s">
        <v>6135</v>
      </c>
      <c r="G2914" t="str">
        <f>"00863146"</f>
        <v>00863146</v>
      </c>
      <c r="H2914">
        <v>31.2</v>
      </c>
      <c r="I2914">
        <v>0</v>
      </c>
      <c r="L2914">
        <v>4</v>
      </c>
      <c r="M2914">
        <v>4</v>
      </c>
      <c r="N2914">
        <v>4</v>
      </c>
      <c r="O2914">
        <v>0</v>
      </c>
      <c r="P2914">
        <v>39.200000000000003</v>
      </c>
      <c r="Q2914">
        <v>0</v>
      </c>
      <c r="R2914">
        <v>0</v>
      </c>
      <c r="S2914">
        <v>0</v>
      </c>
      <c r="T2914">
        <v>0</v>
      </c>
      <c r="U2914">
        <v>0</v>
      </c>
      <c r="V2914">
        <v>0</v>
      </c>
      <c r="W2914">
        <v>0</v>
      </c>
      <c r="X2914">
        <v>0</v>
      </c>
      <c r="Y2914">
        <v>0</v>
      </c>
      <c r="Z2914">
        <v>0</v>
      </c>
      <c r="AA2914">
        <v>0</v>
      </c>
      <c r="AC2914">
        <v>39.200000000000003</v>
      </c>
    </row>
    <row r="2915" spans="1:29">
      <c r="A2915">
        <v>2908</v>
      </c>
      <c r="B2915">
        <v>3555</v>
      </c>
      <c r="C2915" t="s">
        <v>2326</v>
      </c>
      <c r="D2915" t="s">
        <v>20</v>
      </c>
      <c r="E2915" t="s">
        <v>564</v>
      </c>
      <c r="F2915" t="s">
        <v>6136</v>
      </c>
      <c r="G2915" t="str">
        <f>"00512067"</f>
        <v>00512067</v>
      </c>
      <c r="H2915">
        <v>21.16</v>
      </c>
      <c r="I2915">
        <v>0</v>
      </c>
      <c r="M2915">
        <v>0</v>
      </c>
      <c r="N2915">
        <v>0</v>
      </c>
      <c r="O2915">
        <v>2</v>
      </c>
      <c r="P2915">
        <v>23.16</v>
      </c>
      <c r="Q2915">
        <v>13</v>
      </c>
      <c r="R2915">
        <v>13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13</v>
      </c>
      <c r="Z2915">
        <v>3</v>
      </c>
      <c r="AA2915">
        <v>0</v>
      </c>
      <c r="AC2915">
        <v>39.159999999999997</v>
      </c>
    </row>
    <row r="2916" spans="1:29">
      <c r="A2916">
        <v>2909</v>
      </c>
      <c r="B2916">
        <v>1500</v>
      </c>
      <c r="C2916" t="s">
        <v>6137</v>
      </c>
      <c r="D2916" t="s">
        <v>35</v>
      </c>
      <c r="E2916" t="s">
        <v>77</v>
      </c>
      <c r="F2916" t="s">
        <v>6138</v>
      </c>
      <c r="G2916" t="str">
        <f>"00266349"</f>
        <v>00266349</v>
      </c>
      <c r="H2916">
        <v>25.08</v>
      </c>
      <c r="I2916">
        <v>0</v>
      </c>
      <c r="L2916">
        <v>4</v>
      </c>
      <c r="M2916">
        <v>4</v>
      </c>
      <c r="N2916">
        <v>4</v>
      </c>
      <c r="O2916">
        <v>0</v>
      </c>
      <c r="P2916">
        <v>33.08</v>
      </c>
      <c r="Q2916">
        <v>0</v>
      </c>
      <c r="R2916">
        <v>0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0</v>
      </c>
      <c r="Y2916">
        <v>0</v>
      </c>
      <c r="Z2916">
        <v>6</v>
      </c>
      <c r="AA2916">
        <v>0</v>
      </c>
      <c r="AC2916">
        <v>39.08</v>
      </c>
    </row>
    <row r="2917" spans="1:29">
      <c r="A2917">
        <v>2910</v>
      </c>
      <c r="B2917">
        <v>721</v>
      </c>
      <c r="C2917" t="s">
        <v>6139</v>
      </c>
      <c r="D2917" t="s">
        <v>784</v>
      </c>
      <c r="E2917" t="s">
        <v>6140</v>
      </c>
      <c r="F2917" t="s">
        <v>6141</v>
      </c>
      <c r="G2917" t="str">
        <f>"201604005070"</f>
        <v>201604005070</v>
      </c>
      <c r="H2917">
        <v>25.08</v>
      </c>
      <c r="I2917">
        <v>0</v>
      </c>
      <c r="M2917">
        <v>0</v>
      </c>
      <c r="N2917">
        <v>4</v>
      </c>
      <c r="O2917">
        <v>2</v>
      </c>
      <c r="P2917">
        <v>31.08</v>
      </c>
      <c r="Q2917">
        <v>8</v>
      </c>
      <c r="R2917">
        <v>8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0</v>
      </c>
      <c r="Y2917">
        <v>8</v>
      </c>
      <c r="Z2917">
        <v>0</v>
      </c>
      <c r="AA2917">
        <v>0</v>
      </c>
      <c r="AC2917">
        <v>39.08</v>
      </c>
    </row>
    <row r="2918" spans="1:29">
      <c r="A2918">
        <v>2911</v>
      </c>
      <c r="B2918">
        <v>34</v>
      </c>
      <c r="C2918" t="s">
        <v>6144</v>
      </c>
      <c r="D2918" t="s">
        <v>687</v>
      </c>
      <c r="E2918" t="s">
        <v>237</v>
      </c>
      <c r="F2918" t="s">
        <v>6145</v>
      </c>
      <c r="G2918" t="str">
        <f>"00515389"</f>
        <v>00515389</v>
      </c>
      <c r="H2918">
        <v>36</v>
      </c>
      <c r="I2918">
        <v>0</v>
      </c>
      <c r="M2918">
        <v>0</v>
      </c>
      <c r="N2918">
        <v>0</v>
      </c>
      <c r="O2918">
        <v>0</v>
      </c>
      <c r="P2918">
        <v>36</v>
      </c>
      <c r="Q2918">
        <v>0</v>
      </c>
      <c r="R2918">
        <v>0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0</v>
      </c>
      <c r="Y2918">
        <v>0</v>
      </c>
      <c r="Z2918">
        <v>3</v>
      </c>
      <c r="AA2918">
        <v>0</v>
      </c>
      <c r="AC2918">
        <v>39</v>
      </c>
    </row>
    <row r="2919" spans="1:29">
      <c r="A2919">
        <v>2912</v>
      </c>
      <c r="B2919">
        <v>2072</v>
      </c>
      <c r="C2919" t="s">
        <v>6149</v>
      </c>
      <c r="D2919" t="s">
        <v>2799</v>
      </c>
      <c r="E2919" t="s">
        <v>4900</v>
      </c>
      <c r="F2919" t="s">
        <v>6150</v>
      </c>
      <c r="G2919" t="str">
        <f>"00863521"</f>
        <v>00863521</v>
      </c>
      <c r="H2919">
        <v>36</v>
      </c>
      <c r="I2919">
        <v>0</v>
      </c>
      <c r="M2919">
        <v>0</v>
      </c>
      <c r="N2919">
        <v>0</v>
      </c>
      <c r="O2919">
        <v>0</v>
      </c>
      <c r="P2919">
        <v>36</v>
      </c>
      <c r="Q2919">
        <v>0</v>
      </c>
      <c r="R2919">
        <v>0</v>
      </c>
      <c r="S2919">
        <v>0</v>
      </c>
      <c r="T2919">
        <v>0</v>
      </c>
      <c r="U2919">
        <v>0</v>
      </c>
      <c r="V2919">
        <v>0</v>
      </c>
      <c r="W2919">
        <v>0</v>
      </c>
      <c r="X2919">
        <v>0</v>
      </c>
      <c r="Y2919">
        <v>0</v>
      </c>
      <c r="Z2919">
        <v>3</v>
      </c>
      <c r="AA2919">
        <v>0</v>
      </c>
      <c r="AC2919">
        <v>39</v>
      </c>
    </row>
    <row r="2920" spans="1:29">
      <c r="A2920">
        <v>2913</v>
      </c>
      <c r="B2920">
        <v>2325</v>
      </c>
      <c r="C2920" t="s">
        <v>3853</v>
      </c>
      <c r="D2920" t="s">
        <v>544</v>
      </c>
      <c r="E2920" t="s">
        <v>15</v>
      </c>
      <c r="F2920" t="s">
        <v>6146</v>
      </c>
      <c r="G2920" t="str">
        <f>"00791821"</f>
        <v>00791821</v>
      </c>
      <c r="H2920">
        <v>36</v>
      </c>
      <c r="I2920">
        <v>0</v>
      </c>
      <c r="M2920">
        <v>0</v>
      </c>
      <c r="N2920">
        <v>0</v>
      </c>
      <c r="O2920">
        <v>0</v>
      </c>
      <c r="P2920">
        <v>36</v>
      </c>
      <c r="Q2920">
        <v>0</v>
      </c>
      <c r="R2920">
        <v>0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0</v>
      </c>
      <c r="Y2920">
        <v>0</v>
      </c>
      <c r="Z2920">
        <v>3</v>
      </c>
      <c r="AA2920">
        <v>0</v>
      </c>
      <c r="AC2920">
        <v>39</v>
      </c>
    </row>
    <row r="2921" spans="1:29">
      <c r="A2921">
        <v>2914</v>
      </c>
      <c r="B2921">
        <v>87</v>
      </c>
      <c r="C2921" t="s">
        <v>6142</v>
      </c>
      <c r="D2921" t="s">
        <v>1577</v>
      </c>
      <c r="E2921" t="s">
        <v>18</v>
      </c>
      <c r="F2921" t="s">
        <v>6143</v>
      </c>
      <c r="G2921" t="str">
        <f>"00855314"</f>
        <v>00855314</v>
      </c>
      <c r="H2921">
        <v>36</v>
      </c>
      <c r="I2921">
        <v>0</v>
      </c>
      <c r="M2921">
        <v>0</v>
      </c>
      <c r="N2921">
        <v>0</v>
      </c>
      <c r="O2921">
        <v>0</v>
      </c>
      <c r="P2921">
        <v>36</v>
      </c>
      <c r="Q2921">
        <v>0</v>
      </c>
      <c r="R2921">
        <v>0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0</v>
      </c>
      <c r="Y2921">
        <v>0</v>
      </c>
      <c r="Z2921">
        <v>3</v>
      </c>
      <c r="AA2921">
        <v>0</v>
      </c>
      <c r="AC2921">
        <v>39</v>
      </c>
    </row>
    <row r="2922" spans="1:29">
      <c r="A2922">
        <v>2915</v>
      </c>
      <c r="B2922">
        <v>2997</v>
      </c>
      <c r="C2922" t="s">
        <v>6147</v>
      </c>
      <c r="D2922" t="s">
        <v>811</v>
      </c>
      <c r="E2922" t="s">
        <v>18</v>
      </c>
      <c r="F2922" t="s">
        <v>6148</v>
      </c>
      <c r="G2922" t="str">
        <f>"00864002"</f>
        <v>00864002</v>
      </c>
      <c r="H2922">
        <v>36</v>
      </c>
      <c r="I2922">
        <v>0</v>
      </c>
      <c r="M2922">
        <v>0</v>
      </c>
      <c r="N2922">
        <v>0</v>
      </c>
      <c r="O2922">
        <v>0</v>
      </c>
      <c r="P2922">
        <v>36</v>
      </c>
      <c r="Q2922">
        <v>0</v>
      </c>
      <c r="R2922">
        <v>0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0</v>
      </c>
      <c r="Y2922">
        <v>0</v>
      </c>
      <c r="Z2922">
        <v>3</v>
      </c>
      <c r="AA2922">
        <v>0</v>
      </c>
      <c r="AC2922">
        <v>39</v>
      </c>
    </row>
    <row r="2923" spans="1:29">
      <c r="A2923">
        <v>2916</v>
      </c>
      <c r="B2923">
        <v>1717</v>
      </c>
      <c r="C2923" t="s">
        <v>6151</v>
      </c>
      <c r="D2923" t="s">
        <v>130</v>
      </c>
      <c r="E2923" t="s">
        <v>60</v>
      </c>
      <c r="F2923" t="s">
        <v>6152</v>
      </c>
      <c r="G2923" t="str">
        <f>"00273712"</f>
        <v>00273712</v>
      </c>
      <c r="H2923">
        <v>26.92</v>
      </c>
      <c r="I2923">
        <v>0</v>
      </c>
      <c r="M2923">
        <v>0</v>
      </c>
      <c r="N2923">
        <v>0</v>
      </c>
      <c r="O2923">
        <v>0</v>
      </c>
      <c r="P2923">
        <v>26.92</v>
      </c>
      <c r="Q2923">
        <v>0</v>
      </c>
      <c r="R2923">
        <v>0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0</v>
      </c>
      <c r="Y2923">
        <v>0</v>
      </c>
      <c r="Z2923">
        <v>12</v>
      </c>
      <c r="AA2923">
        <v>0</v>
      </c>
      <c r="AC2923">
        <v>38.92</v>
      </c>
    </row>
    <row r="2924" spans="1:29">
      <c r="A2924">
        <v>2917</v>
      </c>
      <c r="B2924">
        <v>2906</v>
      </c>
      <c r="C2924" t="s">
        <v>4150</v>
      </c>
      <c r="D2924" t="s">
        <v>6165</v>
      </c>
      <c r="E2924" t="s">
        <v>134</v>
      </c>
      <c r="F2924" t="s">
        <v>6166</v>
      </c>
      <c r="G2924" t="str">
        <f>"00431437"</f>
        <v>00431437</v>
      </c>
      <c r="H2924">
        <v>28.8</v>
      </c>
      <c r="I2924">
        <v>0</v>
      </c>
      <c r="M2924">
        <v>0</v>
      </c>
      <c r="N2924">
        <v>4</v>
      </c>
      <c r="O2924">
        <v>0</v>
      </c>
      <c r="P2924">
        <v>32.799999999999997</v>
      </c>
      <c r="Q2924">
        <v>0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0</v>
      </c>
      <c r="Z2924">
        <v>6</v>
      </c>
      <c r="AA2924">
        <v>0</v>
      </c>
      <c r="AC2924">
        <v>38.799999999999997</v>
      </c>
    </row>
    <row r="2925" spans="1:29">
      <c r="A2925">
        <v>2918</v>
      </c>
      <c r="B2925">
        <v>986</v>
      </c>
      <c r="C2925" t="s">
        <v>6163</v>
      </c>
      <c r="D2925" t="s">
        <v>569</v>
      </c>
      <c r="E2925" t="s">
        <v>18</v>
      </c>
      <c r="F2925" t="s">
        <v>6164</v>
      </c>
      <c r="G2925" t="str">
        <f>"201412002875"</f>
        <v>201412002875</v>
      </c>
      <c r="H2925">
        <v>28.8</v>
      </c>
      <c r="I2925">
        <v>0</v>
      </c>
      <c r="L2925">
        <v>4</v>
      </c>
      <c r="M2925">
        <v>4</v>
      </c>
      <c r="N2925">
        <v>0</v>
      </c>
      <c r="O2925">
        <v>0</v>
      </c>
      <c r="P2925">
        <v>32.799999999999997</v>
      </c>
      <c r="Q2925">
        <v>0</v>
      </c>
      <c r="R2925">
        <v>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0</v>
      </c>
      <c r="Y2925">
        <v>0</v>
      </c>
      <c r="Z2925">
        <v>6</v>
      </c>
      <c r="AA2925">
        <v>0</v>
      </c>
      <c r="AC2925">
        <v>38.799999999999997</v>
      </c>
    </row>
    <row r="2926" spans="1:29">
      <c r="A2926">
        <v>2919</v>
      </c>
      <c r="B2926">
        <v>3759</v>
      </c>
      <c r="C2926" t="s">
        <v>6157</v>
      </c>
      <c r="D2926" t="s">
        <v>108</v>
      </c>
      <c r="E2926" t="s">
        <v>647</v>
      </c>
      <c r="F2926" t="s">
        <v>6158</v>
      </c>
      <c r="G2926" t="str">
        <f>"00375171"</f>
        <v>00375171</v>
      </c>
      <c r="H2926">
        <v>28.8</v>
      </c>
      <c r="I2926">
        <v>0</v>
      </c>
      <c r="M2926">
        <v>0</v>
      </c>
      <c r="N2926">
        <v>4</v>
      </c>
      <c r="O2926">
        <v>0</v>
      </c>
      <c r="P2926">
        <v>32.799999999999997</v>
      </c>
      <c r="Q2926">
        <v>0</v>
      </c>
      <c r="R2926">
        <v>0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0</v>
      </c>
      <c r="Y2926">
        <v>0</v>
      </c>
      <c r="Z2926">
        <v>6</v>
      </c>
      <c r="AA2926">
        <v>0</v>
      </c>
      <c r="AC2926">
        <v>38.799999999999997</v>
      </c>
    </row>
    <row r="2927" spans="1:29">
      <c r="A2927">
        <v>2920</v>
      </c>
      <c r="B2927">
        <v>1729</v>
      </c>
      <c r="C2927" t="s">
        <v>6161</v>
      </c>
      <c r="D2927" t="s">
        <v>86</v>
      </c>
      <c r="E2927" t="s">
        <v>2809</v>
      </c>
      <c r="F2927" t="s">
        <v>6162</v>
      </c>
      <c r="G2927" t="str">
        <f>"00083821"</f>
        <v>00083821</v>
      </c>
      <c r="H2927">
        <v>28.8</v>
      </c>
      <c r="I2927">
        <v>0</v>
      </c>
      <c r="M2927">
        <v>0</v>
      </c>
      <c r="N2927">
        <v>4</v>
      </c>
      <c r="O2927">
        <v>0</v>
      </c>
      <c r="P2927">
        <v>32.799999999999997</v>
      </c>
      <c r="Q2927">
        <v>0</v>
      </c>
      <c r="R2927">
        <v>0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0</v>
      </c>
      <c r="Y2927">
        <v>0</v>
      </c>
      <c r="Z2927">
        <v>6</v>
      </c>
      <c r="AA2927">
        <v>0</v>
      </c>
      <c r="AC2927">
        <v>38.799999999999997</v>
      </c>
    </row>
    <row r="2928" spans="1:29">
      <c r="A2928">
        <v>2921</v>
      </c>
      <c r="B2928">
        <v>1765</v>
      </c>
      <c r="C2928" t="s">
        <v>6153</v>
      </c>
      <c r="D2928" t="s">
        <v>2441</v>
      </c>
      <c r="E2928" t="s">
        <v>15</v>
      </c>
      <c r="F2928" t="s">
        <v>6154</v>
      </c>
      <c r="G2928" t="str">
        <f>"00525621"</f>
        <v>00525621</v>
      </c>
      <c r="H2928">
        <v>28.8</v>
      </c>
      <c r="I2928">
        <v>0</v>
      </c>
      <c r="M2928">
        <v>0</v>
      </c>
      <c r="N2928">
        <v>4</v>
      </c>
      <c r="O2928">
        <v>0</v>
      </c>
      <c r="P2928">
        <v>32.799999999999997</v>
      </c>
      <c r="Q2928">
        <v>0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0</v>
      </c>
      <c r="Z2928">
        <v>6</v>
      </c>
      <c r="AA2928">
        <v>0</v>
      </c>
      <c r="AC2928">
        <v>38.799999999999997</v>
      </c>
    </row>
    <row r="2929" spans="1:29">
      <c r="A2929">
        <v>2922</v>
      </c>
      <c r="B2929">
        <v>606</v>
      </c>
      <c r="C2929" t="s">
        <v>6155</v>
      </c>
      <c r="D2929" t="s">
        <v>20</v>
      </c>
      <c r="E2929" t="s">
        <v>115</v>
      </c>
      <c r="F2929" t="s">
        <v>6156</v>
      </c>
      <c r="G2929" t="str">
        <f>"00353536"</f>
        <v>00353536</v>
      </c>
      <c r="H2929">
        <v>28.8</v>
      </c>
      <c r="I2929">
        <v>0</v>
      </c>
      <c r="M2929">
        <v>0</v>
      </c>
      <c r="N2929">
        <v>4</v>
      </c>
      <c r="O2929">
        <v>0</v>
      </c>
      <c r="P2929">
        <v>32.799999999999997</v>
      </c>
      <c r="Q2929">
        <v>0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0</v>
      </c>
      <c r="Z2929">
        <v>6</v>
      </c>
      <c r="AA2929">
        <v>0</v>
      </c>
      <c r="AC2929">
        <v>38.799999999999997</v>
      </c>
    </row>
    <row r="2930" spans="1:29">
      <c r="A2930">
        <v>2923</v>
      </c>
      <c r="B2930">
        <v>2978</v>
      </c>
      <c r="C2930" t="s">
        <v>6167</v>
      </c>
      <c r="D2930" t="s">
        <v>20</v>
      </c>
      <c r="E2930" t="s">
        <v>28</v>
      </c>
      <c r="F2930" t="s">
        <v>6168</v>
      </c>
      <c r="G2930" t="str">
        <f>"00030380"</f>
        <v>00030380</v>
      </c>
      <c r="H2930">
        <v>28.8</v>
      </c>
      <c r="I2930">
        <v>0</v>
      </c>
      <c r="M2930">
        <v>0</v>
      </c>
      <c r="N2930">
        <v>4</v>
      </c>
      <c r="O2930">
        <v>0</v>
      </c>
      <c r="P2930">
        <v>32.799999999999997</v>
      </c>
      <c r="Q2930">
        <v>0</v>
      </c>
      <c r="R2930">
        <v>0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0</v>
      </c>
      <c r="Y2930">
        <v>0</v>
      </c>
      <c r="Z2930">
        <v>6</v>
      </c>
      <c r="AA2930">
        <v>0</v>
      </c>
      <c r="AC2930">
        <v>38.799999999999997</v>
      </c>
    </row>
    <row r="2931" spans="1:29">
      <c r="A2931">
        <v>2924</v>
      </c>
      <c r="B2931">
        <v>3422</v>
      </c>
      <c r="C2931" t="s">
        <v>6159</v>
      </c>
      <c r="D2931" t="s">
        <v>164</v>
      </c>
      <c r="E2931" t="s">
        <v>66</v>
      </c>
      <c r="F2931" t="s">
        <v>6160</v>
      </c>
      <c r="G2931" t="str">
        <f>"00860599"</f>
        <v>00860599</v>
      </c>
      <c r="H2931">
        <v>28.8</v>
      </c>
      <c r="I2931">
        <v>0</v>
      </c>
      <c r="M2931">
        <v>0</v>
      </c>
      <c r="N2931">
        <v>4</v>
      </c>
      <c r="O2931">
        <v>0</v>
      </c>
      <c r="P2931">
        <v>32.799999999999997</v>
      </c>
      <c r="Q2931">
        <v>0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0</v>
      </c>
      <c r="Z2931">
        <v>6</v>
      </c>
      <c r="AA2931">
        <v>0</v>
      </c>
      <c r="AC2931">
        <v>38.799999999999997</v>
      </c>
    </row>
    <row r="2932" spans="1:29">
      <c r="A2932">
        <v>2925</v>
      </c>
      <c r="B2932">
        <v>3400</v>
      </c>
      <c r="C2932" t="s">
        <v>6169</v>
      </c>
      <c r="D2932" t="s">
        <v>159</v>
      </c>
      <c r="E2932" t="s">
        <v>28</v>
      </c>
      <c r="F2932" t="s">
        <v>6170</v>
      </c>
      <c r="G2932" t="str">
        <f>"00828441"</f>
        <v>00828441</v>
      </c>
      <c r="H2932">
        <v>32.799999999999997</v>
      </c>
      <c r="I2932">
        <v>0</v>
      </c>
      <c r="L2932">
        <v>4</v>
      </c>
      <c r="M2932">
        <v>4</v>
      </c>
      <c r="N2932">
        <v>0</v>
      </c>
      <c r="O2932">
        <v>2</v>
      </c>
      <c r="P2932">
        <v>38.799999999999997</v>
      </c>
      <c r="Q2932">
        <v>0</v>
      </c>
      <c r="R2932">
        <v>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0</v>
      </c>
      <c r="Z2932">
        <v>0</v>
      </c>
      <c r="AA2932">
        <v>0</v>
      </c>
      <c r="AC2932">
        <v>38.799999999999997</v>
      </c>
    </row>
    <row r="2933" spans="1:29">
      <c r="A2933">
        <v>2926</v>
      </c>
      <c r="B2933">
        <v>1982</v>
      </c>
      <c r="C2933" t="s">
        <v>3417</v>
      </c>
      <c r="D2933" t="s">
        <v>465</v>
      </c>
      <c r="E2933" t="s">
        <v>337</v>
      </c>
      <c r="F2933" t="s">
        <v>6177</v>
      </c>
      <c r="G2933" t="str">
        <f>"00614843"</f>
        <v>00614843</v>
      </c>
      <c r="H2933">
        <v>28.8</v>
      </c>
      <c r="I2933">
        <v>0</v>
      </c>
      <c r="L2933">
        <v>4</v>
      </c>
      <c r="M2933">
        <v>4</v>
      </c>
      <c r="N2933">
        <v>4</v>
      </c>
      <c r="O2933">
        <v>2</v>
      </c>
      <c r="P2933">
        <v>38.799999999999997</v>
      </c>
      <c r="Q2933">
        <v>0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0</v>
      </c>
      <c r="Z2933">
        <v>0</v>
      </c>
      <c r="AA2933">
        <v>0</v>
      </c>
      <c r="AC2933">
        <v>38.799999999999997</v>
      </c>
    </row>
    <row r="2934" spans="1:29">
      <c r="A2934">
        <v>2927</v>
      </c>
      <c r="B2934">
        <v>3803</v>
      </c>
      <c r="C2934" t="s">
        <v>6185</v>
      </c>
      <c r="D2934" t="s">
        <v>15</v>
      </c>
      <c r="E2934" t="s">
        <v>36</v>
      </c>
      <c r="F2934" t="s">
        <v>6186</v>
      </c>
      <c r="G2934" t="str">
        <f>"201603000033"</f>
        <v>201603000033</v>
      </c>
      <c r="H2934">
        <v>28.8</v>
      </c>
      <c r="I2934">
        <v>0</v>
      </c>
      <c r="K2934">
        <v>6</v>
      </c>
      <c r="M2934">
        <v>6</v>
      </c>
      <c r="N2934">
        <v>4</v>
      </c>
      <c r="O2934">
        <v>0</v>
      </c>
      <c r="P2934">
        <v>38.799999999999997</v>
      </c>
      <c r="Q2934">
        <v>0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0</v>
      </c>
      <c r="Z2934">
        <v>0</v>
      </c>
      <c r="AA2934">
        <v>0</v>
      </c>
      <c r="AC2934">
        <v>38.799999999999997</v>
      </c>
    </row>
    <row r="2935" spans="1:29">
      <c r="A2935">
        <v>2928</v>
      </c>
      <c r="B2935">
        <v>3283</v>
      </c>
      <c r="C2935" t="s">
        <v>26</v>
      </c>
      <c r="D2935" t="s">
        <v>52</v>
      </c>
      <c r="E2935" t="s">
        <v>66</v>
      </c>
      <c r="F2935" t="s">
        <v>6187</v>
      </c>
      <c r="G2935" t="str">
        <f>"00734256"</f>
        <v>00734256</v>
      </c>
      <c r="H2935">
        <v>28.8</v>
      </c>
      <c r="I2935">
        <v>0</v>
      </c>
      <c r="L2935">
        <v>4</v>
      </c>
      <c r="M2935">
        <v>4</v>
      </c>
      <c r="N2935">
        <v>4</v>
      </c>
      <c r="O2935">
        <v>2</v>
      </c>
      <c r="P2935">
        <v>38.799999999999997</v>
      </c>
      <c r="Q2935">
        <v>0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0</v>
      </c>
      <c r="Y2935">
        <v>0</v>
      </c>
      <c r="Z2935">
        <v>0</v>
      </c>
      <c r="AA2935">
        <v>0</v>
      </c>
      <c r="AC2935">
        <v>38.799999999999997</v>
      </c>
    </row>
    <row r="2936" spans="1:29">
      <c r="A2936">
        <v>2929</v>
      </c>
      <c r="B2936">
        <v>1989</v>
      </c>
      <c r="C2936" t="s">
        <v>6178</v>
      </c>
      <c r="D2936" t="s">
        <v>6179</v>
      </c>
      <c r="E2936" t="s">
        <v>15</v>
      </c>
      <c r="F2936" t="s">
        <v>6180</v>
      </c>
      <c r="G2936" t="str">
        <f>"00532513"</f>
        <v>00532513</v>
      </c>
      <c r="H2936">
        <v>28.8</v>
      </c>
      <c r="I2936">
        <v>0</v>
      </c>
      <c r="L2936">
        <v>4</v>
      </c>
      <c r="M2936">
        <v>4</v>
      </c>
      <c r="N2936">
        <v>4</v>
      </c>
      <c r="O2936">
        <v>2</v>
      </c>
      <c r="P2936">
        <v>38.799999999999997</v>
      </c>
      <c r="Q2936">
        <v>0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0</v>
      </c>
      <c r="Z2936">
        <v>0</v>
      </c>
      <c r="AA2936">
        <v>0</v>
      </c>
      <c r="AC2936">
        <v>38.799999999999997</v>
      </c>
    </row>
    <row r="2937" spans="1:29">
      <c r="A2937">
        <v>2930</v>
      </c>
      <c r="B2937">
        <v>2778</v>
      </c>
      <c r="C2937" t="s">
        <v>3703</v>
      </c>
      <c r="D2937" t="s">
        <v>164</v>
      </c>
      <c r="E2937" t="s">
        <v>36</v>
      </c>
      <c r="F2937" t="s">
        <v>6173</v>
      </c>
      <c r="G2937" t="str">
        <f>"00214231"</f>
        <v>00214231</v>
      </c>
      <c r="H2937">
        <v>28.8</v>
      </c>
      <c r="I2937">
        <v>0</v>
      </c>
      <c r="L2937">
        <v>4</v>
      </c>
      <c r="M2937">
        <v>4</v>
      </c>
      <c r="N2937">
        <v>4</v>
      </c>
      <c r="O2937">
        <v>2</v>
      </c>
      <c r="P2937">
        <v>38.799999999999997</v>
      </c>
      <c r="Q2937">
        <v>0</v>
      </c>
      <c r="R2937">
        <v>0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0</v>
      </c>
      <c r="Y2937">
        <v>0</v>
      </c>
      <c r="Z2937">
        <v>0</v>
      </c>
      <c r="AA2937">
        <v>0</v>
      </c>
      <c r="AC2937">
        <v>38.799999999999997</v>
      </c>
    </row>
    <row r="2938" spans="1:29">
      <c r="A2938">
        <v>2931</v>
      </c>
      <c r="B2938">
        <v>3193</v>
      </c>
      <c r="C2938" t="s">
        <v>1457</v>
      </c>
      <c r="D2938" t="s">
        <v>27</v>
      </c>
      <c r="E2938" t="s">
        <v>28</v>
      </c>
      <c r="F2938" t="s">
        <v>6174</v>
      </c>
      <c r="G2938" t="str">
        <f>"00863865"</f>
        <v>00863865</v>
      </c>
      <c r="H2938">
        <v>28.8</v>
      </c>
      <c r="I2938">
        <v>0</v>
      </c>
      <c r="J2938">
        <v>8</v>
      </c>
      <c r="M2938">
        <v>8</v>
      </c>
      <c r="N2938">
        <v>0</v>
      </c>
      <c r="O2938">
        <v>2</v>
      </c>
      <c r="P2938">
        <v>38.799999999999997</v>
      </c>
      <c r="Q2938">
        <v>0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0</v>
      </c>
      <c r="Z2938">
        <v>0</v>
      </c>
      <c r="AA2938">
        <v>0</v>
      </c>
      <c r="AC2938">
        <v>38.799999999999997</v>
      </c>
    </row>
    <row r="2939" spans="1:29">
      <c r="A2939">
        <v>2932</v>
      </c>
      <c r="B2939">
        <v>2596</v>
      </c>
      <c r="C2939" t="s">
        <v>3676</v>
      </c>
      <c r="D2939" t="s">
        <v>6181</v>
      </c>
      <c r="E2939" t="s">
        <v>4567</v>
      </c>
      <c r="F2939" t="s">
        <v>6182</v>
      </c>
      <c r="G2939" t="str">
        <f>"00532853"</f>
        <v>00532853</v>
      </c>
      <c r="H2939">
        <v>28.8</v>
      </c>
      <c r="I2939">
        <v>0</v>
      </c>
      <c r="L2939">
        <v>4</v>
      </c>
      <c r="M2939">
        <v>4</v>
      </c>
      <c r="N2939">
        <v>4</v>
      </c>
      <c r="O2939">
        <v>2</v>
      </c>
      <c r="P2939">
        <v>38.799999999999997</v>
      </c>
      <c r="Q2939">
        <v>0</v>
      </c>
      <c r="R2939">
        <v>0</v>
      </c>
      <c r="S2939">
        <v>0</v>
      </c>
      <c r="T2939">
        <v>0</v>
      </c>
      <c r="U2939">
        <v>0</v>
      </c>
      <c r="V2939">
        <v>0</v>
      </c>
      <c r="W2939">
        <v>0</v>
      </c>
      <c r="X2939">
        <v>0</v>
      </c>
      <c r="Y2939">
        <v>0</v>
      </c>
      <c r="Z2939">
        <v>0</v>
      </c>
      <c r="AA2939">
        <v>0</v>
      </c>
      <c r="AC2939">
        <v>38.799999999999997</v>
      </c>
    </row>
    <row r="2940" spans="1:29">
      <c r="A2940">
        <v>2933</v>
      </c>
      <c r="B2940">
        <v>2108</v>
      </c>
      <c r="C2940" t="s">
        <v>1298</v>
      </c>
      <c r="D2940" t="s">
        <v>276</v>
      </c>
      <c r="E2940" t="s">
        <v>66</v>
      </c>
      <c r="F2940" t="s">
        <v>6176</v>
      </c>
      <c r="G2940" t="str">
        <f>"201210000118"</f>
        <v>201210000118</v>
      </c>
      <c r="H2940">
        <v>28.8</v>
      </c>
      <c r="I2940">
        <v>0</v>
      </c>
      <c r="L2940">
        <v>4</v>
      </c>
      <c r="M2940">
        <v>4</v>
      </c>
      <c r="N2940">
        <v>4</v>
      </c>
      <c r="O2940">
        <v>2</v>
      </c>
      <c r="P2940">
        <v>38.799999999999997</v>
      </c>
      <c r="Q2940">
        <v>0</v>
      </c>
      <c r="R2940">
        <v>0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0</v>
      </c>
      <c r="Y2940">
        <v>0</v>
      </c>
      <c r="Z2940">
        <v>0</v>
      </c>
      <c r="AA2940">
        <v>0</v>
      </c>
      <c r="AC2940">
        <v>38.799999999999997</v>
      </c>
    </row>
    <row r="2941" spans="1:29">
      <c r="A2941">
        <v>2934</v>
      </c>
      <c r="B2941">
        <v>2991</v>
      </c>
      <c r="C2941" t="s">
        <v>6188</v>
      </c>
      <c r="D2941" t="s">
        <v>31</v>
      </c>
      <c r="E2941" t="s">
        <v>60</v>
      </c>
      <c r="F2941" t="s">
        <v>6189</v>
      </c>
      <c r="G2941" t="str">
        <f>"00809908"</f>
        <v>00809908</v>
      </c>
      <c r="H2941">
        <v>28.8</v>
      </c>
      <c r="I2941">
        <v>0</v>
      </c>
      <c r="J2941">
        <v>8</v>
      </c>
      <c r="M2941">
        <v>8</v>
      </c>
      <c r="N2941">
        <v>0</v>
      </c>
      <c r="O2941">
        <v>2</v>
      </c>
      <c r="P2941">
        <v>38.799999999999997</v>
      </c>
      <c r="Q2941">
        <v>0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0</v>
      </c>
      <c r="Z2941">
        <v>0</v>
      </c>
      <c r="AA2941">
        <v>0</v>
      </c>
      <c r="AC2941">
        <v>38.799999999999997</v>
      </c>
    </row>
    <row r="2942" spans="1:29">
      <c r="A2942">
        <v>2935</v>
      </c>
      <c r="B2942">
        <v>4336</v>
      </c>
      <c r="C2942" t="s">
        <v>6183</v>
      </c>
      <c r="D2942" t="s">
        <v>205</v>
      </c>
      <c r="E2942" t="s">
        <v>79</v>
      </c>
      <c r="F2942" t="s">
        <v>6184</v>
      </c>
      <c r="G2942" t="str">
        <f>"00592142"</f>
        <v>00592142</v>
      </c>
      <c r="H2942">
        <v>28.8</v>
      </c>
      <c r="I2942">
        <v>0</v>
      </c>
      <c r="L2942">
        <v>4</v>
      </c>
      <c r="M2942">
        <v>4</v>
      </c>
      <c r="N2942">
        <v>4</v>
      </c>
      <c r="O2942">
        <v>2</v>
      </c>
      <c r="P2942">
        <v>38.799999999999997</v>
      </c>
      <c r="Q2942">
        <v>0</v>
      </c>
      <c r="R2942">
        <v>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0</v>
      </c>
      <c r="Y2942">
        <v>0</v>
      </c>
      <c r="Z2942">
        <v>0</v>
      </c>
      <c r="AA2942">
        <v>0</v>
      </c>
      <c r="AC2942">
        <v>38.799999999999997</v>
      </c>
    </row>
    <row r="2943" spans="1:29">
      <c r="A2943">
        <v>2936</v>
      </c>
      <c r="B2943">
        <v>1316</v>
      </c>
      <c r="C2943" t="s">
        <v>1694</v>
      </c>
      <c r="D2943" t="s">
        <v>145</v>
      </c>
      <c r="E2943" t="s">
        <v>3870</v>
      </c>
      <c r="F2943" t="s">
        <v>6175</v>
      </c>
      <c r="G2943" t="str">
        <f>"00855931"</f>
        <v>00855931</v>
      </c>
      <c r="H2943">
        <v>28.8</v>
      </c>
      <c r="I2943">
        <v>0</v>
      </c>
      <c r="L2943">
        <v>4</v>
      </c>
      <c r="M2943">
        <v>4</v>
      </c>
      <c r="N2943">
        <v>4</v>
      </c>
      <c r="O2943">
        <v>2</v>
      </c>
      <c r="P2943">
        <v>38.799999999999997</v>
      </c>
      <c r="Q2943">
        <v>0</v>
      </c>
      <c r="R2943">
        <v>0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0</v>
      </c>
      <c r="Y2943">
        <v>0</v>
      </c>
      <c r="Z2943">
        <v>0</v>
      </c>
      <c r="AA2943">
        <v>0</v>
      </c>
      <c r="AC2943">
        <v>38.799999999999997</v>
      </c>
    </row>
    <row r="2944" spans="1:29">
      <c r="A2944">
        <v>2937</v>
      </c>
      <c r="B2944">
        <v>4113</v>
      </c>
      <c r="C2944" t="s">
        <v>6171</v>
      </c>
      <c r="D2944" t="s">
        <v>35</v>
      </c>
      <c r="E2944" t="s">
        <v>15</v>
      </c>
      <c r="F2944" t="s">
        <v>6172</v>
      </c>
      <c r="G2944" t="str">
        <f>"00855485"</f>
        <v>00855485</v>
      </c>
      <c r="H2944">
        <v>28.8</v>
      </c>
      <c r="I2944">
        <v>0</v>
      </c>
      <c r="L2944">
        <v>4</v>
      </c>
      <c r="M2944">
        <v>4</v>
      </c>
      <c r="N2944">
        <v>4</v>
      </c>
      <c r="O2944">
        <v>2</v>
      </c>
      <c r="P2944">
        <v>38.799999999999997</v>
      </c>
      <c r="Q2944">
        <v>0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0</v>
      </c>
      <c r="Z2944">
        <v>0</v>
      </c>
      <c r="AA2944">
        <v>0</v>
      </c>
      <c r="AC2944">
        <v>38.799999999999997</v>
      </c>
    </row>
    <row r="2945" spans="1:29">
      <c r="A2945">
        <v>2938</v>
      </c>
      <c r="B2945">
        <v>1438</v>
      </c>
      <c r="C2945" t="s">
        <v>6190</v>
      </c>
      <c r="D2945" t="s">
        <v>336</v>
      </c>
      <c r="E2945" t="s">
        <v>165</v>
      </c>
      <c r="F2945" t="s">
        <v>6191</v>
      </c>
      <c r="G2945" t="str">
        <f>"00248062"</f>
        <v>00248062</v>
      </c>
      <c r="H2945">
        <v>22.76</v>
      </c>
      <c r="I2945">
        <v>10</v>
      </c>
      <c r="M2945">
        <v>0</v>
      </c>
      <c r="N2945">
        <v>0</v>
      </c>
      <c r="O2945">
        <v>0</v>
      </c>
      <c r="P2945">
        <v>32.76</v>
      </c>
      <c r="Q2945">
        <v>0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0</v>
      </c>
      <c r="X2945">
        <v>0</v>
      </c>
      <c r="Y2945">
        <v>0</v>
      </c>
      <c r="Z2945">
        <v>6</v>
      </c>
      <c r="AA2945">
        <v>0</v>
      </c>
      <c r="AC2945">
        <v>38.76</v>
      </c>
    </row>
    <row r="2946" spans="1:29">
      <c r="A2946">
        <v>2939</v>
      </c>
      <c r="B2946">
        <v>3577</v>
      </c>
      <c r="C2946" t="s">
        <v>3987</v>
      </c>
      <c r="D2946" t="s">
        <v>185</v>
      </c>
      <c r="E2946" t="s">
        <v>1450</v>
      </c>
      <c r="F2946" t="s">
        <v>6192</v>
      </c>
      <c r="G2946" t="str">
        <f>"201409003544"</f>
        <v>201409003544</v>
      </c>
      <c r="H2946">
        <v>25.76</v>
      </c>
      <c r="I2946">
        <v>10</v>
      </c>
      <c r="M2946">
        <v>0</v>
      </c>
      <c r="N2946">
        <v>0</v>
      </c>
      <c r="O2946">
        <v>0</v>
      </c>
      <c r="P2946">
        <v>35.76</v>
      </c>
      <c r="Q2946">
        <v>0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0</v>
      </c>
      <c r="Z2946">
        <v>3</v>
      </c>
      <c r="AA2946">
        <v>0</v>
      </c>
      <c r="AC2946">
        <v>38.76</v>
      </c>
    </row>
    <row r="2947" spans="1:29">
      <c r="A2947">
        <v>2940</v>
      </c>
      <c r="B2947">
        <v>2146</v>
      </c>
      <c r="C2947" t="s">
        <v>6193</v>
      </c>
      <c r="D2947" t="s">
        <v>276</v>
      </c>
      <c r="E2947" t="s">
        <v>28</v>
      </c>
      <c r="F2947" t="s">
        <v>6194</v>
      </c>
      <c r="G2947" t="str">
        <f>"00830489"</f>
        <v>00830489</v>
      </c>
      <c r="H2947">
        <v>24.72</v>
      </c>
      <c r="I2947">
        <v>10</v>
      </c>
      <c r="M2947">
        <v>0</v>
      </c>
      <c r="N2947">
        <v>4</v>
      </c>
      <c r="O2947">
        <v>0</v>
      </c>
      <c r="P2947">
        <v>38.72</v>
      </c>
      <c r="Q2947">
        <v>0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0</v>
      </c>
      <c r="Y2947">
        <v>0</v>
      </c>
      <c r="Z2947">
        <v>0</v>
      </c>
      <c r="AA2947">
        <v>0</v>
      </c>
      <c r="AC2947">
        <v>38.72</v>
      </c>
    </row>
    <row r="2948" spans="1:29">
      <c r="A2948">
        <v>2941</v>
      </c>
      <c r="B2948">
        <v>1915</v>
      </c>
      <c r="C2948" t="s">
        <v>6195</v>
      </c>
      <c r="D2948" t="s">
        <v>167</v>
      </c>
      <c r="E2948" t="s">
        <v>6196</v>
      </c>
      <c r="F2948" t="s">
        <v>6197</v>
      </c>
      <c r="G2948" t="str">
        <f>"00653966"</f>
        <v>00653966</v>
      </c>
      <c r="H2948">
        <v>38.68</v>
      </c>
      <c r="I2948">
        <v>0</v>
      </c>
      <c r="M2948">
        <v>0</v>
      </c>
      <c r="N2948">
        <v>0</v>
      </c>
      <c r="O2948">
        <v>0</v>
      </c>
      <c r="P2948">
        <v>38.68</v>
      </c>
      <c r="Q2948">
        <v>0</v>
      </c>
      <c r="R2948">
        <v>0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0</v>
      </c>
      <c r="Y2948">
        <v>0</v>
      </c>
      <c r="Z2948">
        <v>0</v>
      </c>
      <c r="AA2948">
        <v>0</v>
      </c>
      <c r="AC2948">
        <v>38.68</v>
      </c>
    </row>
    <row r="2949" spans="1:29">
      <c r="A2949">
        <v>2942</v>
      </c>
      <c r="B2949">
        <v>3188</v>
      </c>
      <c r="C2949" t="s">
        <v>2629</v>
      </c>
      <c r="D2949" t="s">
        <v>20</v>
      </c>
      <c r="E2949" t="s">
        <v>134</v>
      </c>
      <c r="F2949" t="s">
        <v>6198</v>
      </c>
      <c r="G2949" t="str">
        <f>"00864088"</f>
        <v>00864088</v>
      </c>
      <c r="H2949">
        <v>29.6</v>
      </c>
      <c r="I2949">
        <v>0</v>
      </c>
      <c r="M2949">
        <v>0</v>
      </c>
      <c r="N2949">
        <v>0</v>
      </c>
      <c r="O2949">
        <v>0</v>
      </c>
      <c r="P2949">
        <v>29.6</v>
      </c>
      <c r="Q2949">
        <v>0</v>
      </c>
      <c r="R2949">
        <v>0</v>
      </c>
      <c r="S2949">
        <v>0</v>
      </c>
      <c r="T2949">
        <v>0</v>
      </c>
      <c r="U2949">
        <v>0</v>
      </c>
      <c r="V2949">
        <v>0</v>
      </c>
      <c r="W2949">
        <v>0</v>
      </c>
      <c r="X2949">
        <v>0</v>
      </c>
      <c r="Y2949">
        <v>0</v>
      </c>
      <c r="Z2949">
        <v>9</v>
      </c>
      <c r="AA2949">
        <v>0</v>
      </c>
      <c r="AC2949">
        <v>38.6</v>
      </c>
    </row>
    <row r="2950" spans="1:29">
      <c r="A2950">
        <v>2943</v>
      </c>
      <c r="B2950">
        <v>1502</v>
      </c>
      <c r="C2950" t="s">
        <v>6199</v>
      </c>
      <c r="D2950" t="s">
        <v>52</v>
      </c>
      <c r="E2950" t="s">
        <v>15</v>
      </c>
      <c r="F2950" t="s">
        <v>6200</v>
      </c>
      <c r="G2950" t="str">
        <f>"00483208"</f>
        <v>00483208</v>
      </c>
      <c r="H2950">
        <v>21.6</v>
      </c>
      <c r="I2950">
        <v>0</v>
      </c>
      <c r="L2950">
        <v>4</v>
      </c>
      <c r="M2950">
        <v>4</v>
      </c>
      <c r="N2950">
        <v>4</v>
      </c>
      <c r="O2950">
        <v>0</v>
      </c>
      <c r="P2950">
        <v>29.6</v>
      </c>
      <c r="Q2950">
        <v>0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0</v>
      </c>
      <c r="Z2950">
        <v>9</v>
      </c>
      <c r="AA2950">
        <v>0</v>
      </c>
      <c r="AC2950">
        <v>38.6</v>
      </c>
    </row>
    <row r="2951" spans="1:29">
      <c r="A2951">
        <v>2944</v>
      </c>
      <c r="B2951">
        <v>1680</v>
      </c>
      <c r="C2951" t="s">
        <v>6201</v>
      </c>
      <c r="D2951" t="s">
        <v>694</v>
      </c>
      <c r="E2951" t="s">
        <v>60</v>
      </c>
      <c r="F2951" t="s">
        <v>6202</v>
      </c>
      <c r="G2951" t="str">
        <f>"00449682"</f>
        <v>00449682</v>
      </c>
      <c r="H2951">
        <v>31.6</v>
      </c>
      <c r="I2951">
        <v>0</v>
      </c>
      <c r="M2951">
        <v>0</v>
      </c>
      <c r="N2951">
        <v>4</v>
      </c>
      <c r="O2951">
        <v>0</v>
      </c>
      <c r="P2951">
        <v>35.6</v>
      </c>
      <c r="Q2951">
        <v>0</v>
      </c>
      <c r="R2951">
        <v>0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0</v>
      </c>
      <c r="Y2951">
        <v>0</v>
      </c>
      <c r="Z2951">
        <v>3</v>
      </c>
      <c r="AA2951">
        <v>0</v>
      </c>
      <c r="AC2951">
        <v>38.6</v>
      </c>
    </row>
    <row r="2952" spans="1:29">
      <c r="A2952">
        <v>2945</v>
      </c>
      <c r="B2952">
        <v>3750</v>
      </c>
      <c r="C2952" t="s">
        <v>6206</v>
      </c>
      <c r="D2952" t="s">
        <v>510</v>
      </c>
      <c r="E2952" t="s">
        <v>6207</v>
      </c>
      <c r="F2952" t="s">
        <v>6208</v>
      </c>
      <c r="G2952" t="str">
        <f>"00861907"</f>
        <v>00861907</v>
      </c>
      <c r="H2952">
        <v>21.6</v>
      </c>
      <c r="I2952">
        <v>10</v>
      </c>
      <c r="M2952">
        <v>0</v>
      </c>
      <c r="N2952">
        <v>4</v>
      </c>
      <c r="O2952">
        <v>0</v>
      </c>
      <c r="P2952">
        <v>35.6</v>
      </c>
      <c r="Q2952">
        <v>0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0</v>
      </c>
      <c r="Z2952">
        <v>3</v>
      </c>
      <c r="AA2952">
        <v>0</v>
      </c>
      <c r="AC2952">
        <v>38.6</v>
      </c>
    </row>
    <row r="2953" spans="1:29">
      <c r="A2953">
        <v>2946</v>
      </c>
      <c r="B2953">
        <v>2886</v>
      </c>
      <c r="C2953" t="s">
        <v>6203</v>
      </c>
      <c r="D2953" t="s">
        <v>6204</v>
      </c>
      <c r="E2953" t="s">
        <v>79</v>
      </c>
      <c r="F2953" t="s">
        <v>6205</v>
      </c>
      <c r="G2953" t="str">
        <f>"00859529"</f>
        <v>00859529</v>
      </c>
      <c r="H2953">
        <v>21.6</v>
      </c>
      <c r="I2953">
        <v>10</v>
      </c>
      <c r="M2953">
        <v>0</v>
      </c>
      <c r="N2953">
        <v>4</v>
      </c>
      <c r="O2953">
        <v>0</v>
      </c>
      <c r="P2953">
        <v>35.6</v>
      </c>
      <c r="Q2953">
        <v>0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0</v>
      </c>
      <c r="Z2953">
        <v>3</v>
      </c>
      <c r="AA2953">
        <v>0</v>
      </c>
      <c r="AC2953">
        <v>38.6</v>
      </c>
    </row>
    <row r="2954" spans="1:29">
      <c r="A2954">
        <v>2947</v>
      </c>
      <c r="B2954">
        <v>2326</v>
      </c>
      <c r="C2954" t="s">
        <v>6209</v>
      </c>
      <c r="D2954" t="s">
        <v>557</v>
      </c>
      <c r="E2954" t="s">
        <v>337</v>
      </c>
      <c r="F2954" t="s">
        <v>6210</v>
      </c>
      <c r="G2954" t="str">
        <f>"00529547"</f>
        <v>00529547</v>
      </c>
      <c r="H2954">
        <v>21.6</v>
      </c>
      <c r="I2954">
        <v>0</v>
      </c>
      <c r="M2954">
        <v>0</v>
      </c>
      <c r="N2954">
        <v>4</v>
      </c>
      <c r="O2954">
        <v>2</v>
      </c>
      <c r="P2954">
        <v>27.6</v>
      </c>
      <c r="Q2954">
        <v>0</v>
      </c>
      <c r="R2954">
        <v>0</v>
      </c>
      <c r="S2954">
        <v>4</v>
      </c>
      <c r="T2954">
        <v>8</v>
      </c>
      <c r="U2954">
        <v>0</v>
      </c>
      <c r="V2954">
        <v>0</v>
      </c>
      <c r="W2954">
        <v>0</v>
      </c>
      <c r="X2954">
        <v>0</v>
      </c>
      <c r="Y2954">
        <v>8</v>
      </c>
      <c r="Z2954">
        <v>3</v>
      </c>
      <c r="AA2954">
        <v>0</v>
      </c>
      <c r="AC2954">
        <v>38.6</v>
      </c>
    </row>
    <row r="2955" spans="1:29">
      <c r="A2955">
        <v>2948</v>
      </c>
      <c r="B2955">
        <v>3913</v>
      </c>
      <c r="C2955" t="s">
        <v>6211</v>
      </c>
      <c r="D2955" t="s">
        <v>2545</v>
      </c>
      <c r="E2955" t="s">
        <v>237</v>
      </c>
      <c r="F2955" t="s">
        <v>6212</v>
      </c>
      <c r="G2955" t="str">
        <f>"00511674"</f>
        <v>00511674</v>
      </c>
      <c r="H2955">
        <v>21.6</v>
      </c>
      <c r="I2955">
        <v>0</v>
      </c>
      <c r="M2955">
        <v>0</v>
      </c>
      <c r="N2955">
        <v>4</v>
      </c>
      <c r="O2955">
        <v>0</v>
      </c>
      <c r="P2955">
        <v>25.6</v>
      </c>
      <c r="Q2955">
        <v>13</v>
      </c>
      <c r="R2955">
        <v>13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  <c r="Y2955">
        <v>13</v>
      </c>
      <c r="Z2955">
        <v>0</v>
      </c>
      <c r="AA2955">
        <v>0</v>
      </c>
      <c r="AC2955">
        <v>38.6</v>
      </c>
    </row>
    <row r="2956" spans="1:29">
      <c r="A2956">
        <v>2949</v>
      </c>
      <c r="B2956">
        <v>4647</v>
      </c>
      <c r="C2956" t="s">
        <v>6213</v>
      </c>
      <c r="D2956" t="s">
        <v>24</v>
      </c>
      <c r="E2956" t="s">
        <v>581</v>
      </c>
      <c r="F2956" t="s">
        <v>6214</v>
      </c>
      <c r="G2956" t="str">
        <f>"00037815"</f>
        <v>00037815</v>
      </c>
      <c r="H2956">
        <v>25.52</v>
      </c>
      <c r="I2956">
        <v>0</v>
      </c>
      <c r="M2956">
        <v>0</v>
      </c>
      <c r="N2956">
        <v>4</v>
      </c>
      <c r="O2956">
        <v>0</v>
      </c>
      <c r="P2956">
        <v>29.52</v>
      </c>
      <c r="Q2956">
        <v>0</v>
      </c>
      <c r="R2956">
        <v>0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  <c r="Y2956">
        <v>0</v>
      </c>
      <c r="Z2956">
        <v>9</v>
      </c>
      <c r="AA2956">
        <v>0</v>
      </c>
      <c r="AC2956">
        <v>38.520000000000003</v>
      </c>
    </row>
    <row r="2957" spans="1:29">
      <c r="A2957">
        <v>2950</v>
      </c>
      <c r="B2957">
        <v>2643</v>
      </c>
      <c r="C2957" t="s">
        <v>4899</v>
      </c>
      <c r="D2957" t="s">
        <v>86</v>
      </c>
      <c r="E2957" t="s">
        <v>28</v>
      </c>
      <c r="F2957" t="s">
        <v>6215</v>
      </c>
      <c r="G2957" t="str">
        <f>"00561122"</f>
        <v>00561122</v>
      </c>
      <c r="H2957">
        <v>25.44</v>
      </c>
      <c r="I2957">
        <v>0</v>
      </c>
      <c r="M2957">
        <v>0</v>
      </c>
      <c r="N2957">
        <v>4</v>
      </c>
      <c r="O2957">
        <v>0</v>
      </c>
      <c r="P2957">
        <v>29.44</v>
      </c>
      <c r="Q2957">
        <v>0</v>
      </c>
      <c r="R2957">
        <v>0</v>
      </c>
      <c r="S2957">
        <v>0</v>
      </c>
      <c r="T2957">
        <v>0</v>
      </c>
      <c r="U2957">
        <v>0</v>
      </c>
      <c r="V2957">
        <v>0</v>
      </c>
      <c r="W2957">
        <v>0</v>
      </c>
      <c r="X2957">
        <v>0</v>
      </c>
      <c r="Y2957">
        <v>0</v>
      </c>
      <c r="Z2957">
        <v>9</v>
      </c>
      <c r="AA2957">
        <v>0</v>
      </c>
      <c r="AC2957">
        <v>38.44</v>
      </c>
    </row>
    <row r="2958" spans="1:29">
      <c r="A2958">
        <v>2951</v>
      </c>
      <c r="B2958">
        <v>3394</v>
      </c>
      <c r="C2958" t="s">
        <v>5143</v>
      </c>
      <c r="D2958" t="s">
        <v>279</v>
      </c>
      <c r="E2958" t="s">
        <v>581</v>
      </c>
      <c r="F2958" t="s">
        <v>6216</v>
      </c>
      <c r="G2958" t="str">
        <f>"00530575"</f>
        <v>00530575</v>
      </c>
      <c r="H2958">
        <v>20.440000000000001</v>
      </c>
      <c r="I2958">
        <v>10</v>
      </c>
      <c r="L2958">
        <v>4</v>
      </c>
      <c r="M2958">
        <v>4</v>
      </c>
      <c r="N2958">
        <v>4</v>
      </c>
      <c r="O2958">
        <v>0</v>
      </c>
      <c r="P2958">
        <v>38.44</v>
      </c>
      <c r="Q2958">
        <v>0</v>
      </c>
      <c r="R2958">
        <v>0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0</v>
      </c>
      <c r="Y2958">
        <v>0</v>
      </c>
      <c r="Z2958">
        <v>0</v>
      </c>
      <c r="AA2958">
        <v>0</v>
      </c>
      <c r="AC2958">
        <v>38.44</v>
      </c>
    </row>
    <row r="2959" spans="1:29">
      <c r="A2959">
        <v>2952</v>
      </c>
      <c r="B2959">
        <v>3216</v>
      </c>
      <c r="C2959" t="s">
        <v>6217</v>
      </c>
      <c r="D2959" t="s">
        <v>147</v>
      </c>
      <c r="E2959" t="s">
        <v>79</v>
      </c>
      <c r="F2959" t="s">
        <v>6218</v>
      </c>
      <c r="G2959" t="str">
        <f>"00862181"</f>
        <v>00862181</v>
      </c>
      <c r="H2959">
        <v>38.4</v>
      </c>
      <c r="I2959">
        <v>0</v>
      </c>
      <c r="M2959">
        <v>0</v>
      </c>
      <c r="N2959">
        <v>0</v>
      </c>
      <c r="O2959">
        <v>0</v>
      </c>
      <c r="P2959">
        <v>38.4</v>
      </c>
      <c r="Q2959">
        <v>0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0</v>
      </c>
      <c r="Z2959">
        <v>0</v>
      </c>
      <c r="AA2959">
        <v>0</v>
      </c>
      <c r="AC2959">
        <v>38.4</v>
      </c>
    </row>
    <row r="2960" spans="1:29">
      <c r="A2960">
        <v>2953</v>
      </c>
      <c r="B2960">
        <v>831</v>
      </c>
      <c r="C2960" t="s">
        <v>4930</v>
      </c>
      <c r="D2960" t="s">
        <v>108</v>
      </c>
      <c r="E2960" t="s">
        <v>60</v>
      </c>
      <c r="F2960" t="s">
        <v>6219</v>
      </c>
      <c r="G2960" t="str">
        <f>"00559169"</f>
        <v>00559169</v>
      </c>
      <c r="H2960">
        <v>38.4</v>
      </c>
      <c r="I2960">
        <v>0</v>
      </c>
      <c r="M2960">
        <v>0</v>
      </c>
      <c r="N2960">
        <v>0</v>
      </c>
      <c r="O2960">
        <v>0</v>
      </c>
      <c r="P2960">
        <v>38.4</v>
      </c>
      <c r="Q2960">
        <v>0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0</v>
      </c>
      <c r="Z2960">
        <v>0</v>
      </c>
      <c r="AA2960">
        <v>0</v>
      </c>
      <c r="AC2960">
        <v>38.4</v>
      </c>
    </row>
    <row r="2961" spans="1:29">
      <c r="A2961">
        <v>2954</v>
      </c>
      <c r="B2961">
        <v>973</v>
      </c>
      <c r="C2961" t="s">
        <v>6220</v>
      </c>
      <c r="D2961" t="s">
        <v>52</v>
      </c>
      <c r="E2961" t="s">
        <v>66</v>
      </c>
      <c r="F2961" t="s">
        <v>6221</v>
      </c>
      <c r="G2961" t="str">
        <f>"00859090"</f>
        <v>00859090</v>
      </c>
      <c r="H2961">
        <v>38.4</v>
      </c>
      <c r="I2961">
        <v>0</v>
      </c>
      <c r="M2961">
        <v>0</v>
      </c>
      <c r="N2961">
        <v>0</v>
      </c>
      <c r="O2961">
        <v>0</v>
      </c>
      <c r="P2961">
        <v>38.4</v>
      </c>
      <c r="Q2961">
        <v>0</v>
      </c>
      <c r="R2961">
        <v>0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0</v>
      </c>
      <c r="Y2961">
        <v>0</v>
      </c>
      <c r="Z2961">
        <v>0</v>
      </c>
      <c r="AA2961">
        <v>0</v>
      </c>
      <c r="AC2961">
        <v>38.4</v>
      </c>
    </row>
    <row r="2962" spans="1:29">
      <c r="A2962">
        <v>2955</v>
      </c>
      <c r="B2962">
        <v>2676</v>
      </c>
      <c r="C2962" t="s">
        <v>6222</v>
      </c>
      <c r="D2962" t="s">
        <v>6223</v>
      </c>
      <c r="E2962" t="s">
        <v>6224</v>
      </c>
      <c r="F2962" t="s">
        <v>6225</v>
      </c>
      <c r="G2962" t="str">
        <f>"00855502"</f>
        <v>00855502</v>
      </c>
      <c r="H2962">
        <v>32.4</v>
      </c>
      <c r="I2962">
        <v>0</v>
      </c>
      <c r="K2962">
        <v>6</v>
      </c>
      <c r="M2962">
        <v>6</v>
      </c>
      <c r="N2962">
        <v>0</v>
      </c>
      <c r="O2962">
        <v>0</v>
      </c>
      <c r="P2962">
        <v>38.4</v>
      </c>
      <c r="Q2962">
        <v>0</v>
      </c>
      <c r="R2962">
        <v>0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0</v>
      </c>
      <c r="Y2962">
        <v>0</v>
      </c>
      <c r="Z2962">
        <v>0</v>
      </c>
      <c r="AA2962">
        <v>0</v>
      </c>
      <c r="AC2962">
        <v>38.4</v>
      </c>
    </row>
    <row r="2963" spans="1:29">
      <c r="A2963">
        <v>2956</v>
      </c>
      <c r="B2963">
        <v>4066</v>
      </c>
      <c r="C2963" t="s">
        <v>383</v>
      </c>
      <c r="D2963" t="s">
        <v>159</v>
      </c>
      <c r="E2963" t="s">
        <v>375</v>
      </c>
      <c r="F2963" t="s">
        <v>6226</v>
      </c>
      <c r="G2963" t="str">
        <f>"00513626"</f>
        <v>00513626</v>
      </c>
      <c r="H2963">
        <v>28.4</v>
      </c>
      <c r="I2963">
        <v>10</v>
      </c>
      <c r="M2963">
        <v>0</v>
      </c>
      <c r="N2963">
        <v>0</v>
      </c>
      <c r="O2963">
        <v>0</v>
      </c>
      <c r="P2963">
        <v>38.4</v>
      </c>
      <c r="Q2963">
        <v>0</v>
      </c>
      <c r="R2963">
        <v>0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0</v>
      </c>
      <c r="Y2963">
        <v>0</v>
      </c>
      <c r="Z2963">
        <v>0</v>
      </c>
      <c r="AA2963">
        <v>0</v>
      </c>
      <c r="AC2963">
        <v>38.4</v>
      </c>
    </row>
    <row r="2964" spans="1:29">
      <c r="A2964">
        <v>2957</v>
      </c>
      <c r="B2964">
        <v>1594</v>
      </c>
      <c r="C2964" t="s">
        <v>6227</v>
      </c>
      <c r="D2964" t="s">
        <v>39</v>
      </c>
      <c r="E2964" t="s">
        <v>32</v>
      </c>
      <c r="F2964" t="s">
        <v>6228</v>
      </c>
      <c r="G2964" t="str">
        <f>"00510371"</f>
        <v>00510371</v>
      </c>
      <c r="H2964">
        <v>14.4</v>
      </c>
      <c r="I2964">
        <v>0</v>
      </c>
      <c r="M2964">
        <v>0</v>
      </c>
      <c r="N2964">
        <v>4</v>
      </c>
      <c r="O2964">
        <v>0</v>
      </c>
      <c r="P2964">
        <v>18.399999999999999</v>
      </c>
      <c r="Q2964">
        <v>20</v>
      </c>
      <c r="R2964">
        <v>20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20</v>
      </c>
      <c r="Z2964">
        <v>0</v>
      </c>
      <c r="AA2964">
        <v>0</v>
      </c>
      <c r="AC2964">
        <v>38.4</v>
      </c>
    </row>
    <row r="2965" spans="1:29">
      <c r="A2965">
        <v>2958</v>
      </c>
      <c r="B2965">
        <v>4163</v>
      </c>
      <c r="C2965" t="s">
        <v>4352</v>
      </c>
      <c r="D2965" t="s">
        <v>832</v>
      </c>
      <c r="E2965" t="s">
        <v>115</v>
      </c>
      <c r="F2965" t="s">
        <v>6229</v>
      </c>
      <c r="G2965" t="str">
        <f>"00865281"</f>
        <v>00865281</v>
      </c>
      <c r="H2965">
        <v>27.28</v>
      </c>
      <c r="I2965">
        <v>0</v>
      </c>
      <c r="L2965">
        <v>4</v>
      </c>
      <c r="M2965">
        <v>4</v>
      </c>
      <c r="N2965">
        <v>4</v>
      </c>
      <c r="O2965">
        <v>0</v>
      </c>
      <c r="P2965">
        <v>35.28</v>
      </c>
      <c r="Q2965">
        <v>0</v>
      </c>
      <c r="R2965">
        <v>0</v>
      </c>
      <c r="S2965">
        <v>0</v>
      </c>
      <c r="T2965">
        <v>0</v>
      </c>
      <c r="U2965">
        <v>0</v>
      </c>
      <c r="V2965">
        <v>0</v>
      </c>
      <c r="W2965">
        <v>0</v>
      </c>
      <c r="X2965">
        <v>0</v>
      </c>
      <c r="Y2965">
        <v>0</v>
      </c>
      <c r="Z2965">
        <v>3</v>
      </c>
      <c r="AA2965">
        <v>0</v>
      </c>
      <c r="AC2965">
        <v>38.28</v>
      </c>
    </row>
    <row r="2966" spans="1:29">
      <c r="A2966">
        <v>2959</v>
      </c>
      <c r="B2966">
        <v>3032</v>
      </c>
      <c r="C2966" t="s">
        <v>3973</v>
      </c>
      <c r="D2966" t="s">
        <v>6230</v>
      </c>
      <c r="E2966" t="s">
        <v>18</v>
      </c>
      <c r="F2966" t="s">
        <v>6231</v>
      </c>
      <c r="G2966" t="str">
        <f>"201511015213"</f>
        <v>201511015213</v>
      </c>
      <c r="H2966">
        <v>25.2</v>
      </c>
      <c r="I2966">
        <v>0</v>
      </c>
      <c r="M2966">
        <v>0</v>
      </c>
      <c r="N2966">
        <v>4</v>
      </c>
      <c r="O2966">
        <v>0</v>
      </c>
      <c r="P2966">
        <v>29.2</v>
      </c>
      <c r="Q2966">
        <v>0</v>
      </c>
      <c r="R2966">
        <v>0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0</v>
      </c>
      <c r="Y2966">
        <v>0</v>
      </c>
      <c r="Z2966">
        <v>9</v>
      </c>
      <c r="AA2966">
        <v>0</v>
      </c>
      <c r="AC2966">
        <v>38.200000000000003</v>
      </c>
    </row>
    <row r="2967" spans="1:29">
      <c r="A2967">
        <v>2960</v>
      </c>
      <c r="B2967">
        <v>412</v>
      </c>
      <c r="C2967" t="s">
        <v>4996</v>
      </c>
      <c r="D2967" t="s">
        <v>784</v>
      </c>
      <c r="E2967" t="s">
        <v>36</v>
      </c>
      <c r="F2967" t="s">
        <v>6232</v>
      </c>
      <c r="G2967" t="str">
        <f>"201510002663"</f>
        <v>201510002663</v>
      </c>
      <c r="H2967">
        <v>18.2</v>
      </c>
      <c r="I2967">
        <v>10</v>
      </c>
      <c r="M2967">
        <v>0</v>
      </c>
      <c r="N2967">
        <v>4</v>
      </c>
      <c r="O2967">
        <v>0</v>
      </c>
      <c r="P2967">
        <v>32.200000000000003</v>
      </c>
      <c r="Q2967">
        <v>0</v>
      </c>
      <c r="R2967">
        <v>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0</v>
      </c>
      <c r="Y2967">
        <v>0</v>
      </c>
      <c r="Z2967">
        <v>6</v>
      </c>
      <c r="AA2967">
        <v>0</v>
      </c>
      <c r="AC2967">
        <v>38.200000000000003</v>
      </c>
    </row>
    <row r="2968" spans="1:29">
      <c r="A2968">
        <v>2961</v>
      </c>
      <c r="B2968">
        <v>4503</v>
      </c>
      <c r="C2968" t="s">
        <v>5159</v>
      </c>
      <c r="D2968" t="s">
        <v>130</v>
      </c>
      <c r="E2968" t="s">
        <v>2589</v>
      </c>
      <c r="F2968" t="s">
        <v>6233</v>
      </c>
      <c r="G2968" t="str">
        <f>"00161796"</f>
        <v>00161796</v>
      </c>
      <c r="H2968">
        <v>7.2</v>
      </c>
      <c r="I2968">
        <v>0</v>
      </c>
      <c r="M2968">
        <v>0</v>
      </c>
      <c r="N2968">
        <v>4</v>
      </c>
      <c r="O2968">
        <v>0</v>
      </c>
      <c r="P2968">
        <v>11.2</v>
      </c>
      <c r="Q2968">
        <v>24</v>
      </c>
      <c r="R2968">
        <v>24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24</v>
      </c>
      <c r="Z2968">
        <v>3</v>
      </c>
      <c r="AA2968">
        <v>0</v>
      </c>
      <c r="AC2968">
        <v>38.200000000000003</v>
      </c>
    </row>
    <row r="2969" spans="1:29">
      <c r="A2969">
        <v>2962</v>
      </c>
      <c r="B2969">
        <v>4075</v>
      </c>
      <c r="C2969" t="s">
        <v>260</v>
      </c>
      <c r="D2969" t="s">
        <v>4720</v>
      </c>
      <c r="E2969" t="s">
        <v>1749</v>
      </c>
      <c r="F2969" t="s">
        <v>6234</v>
      </c>
      <c r="G2969" t="str">
        <f>"00538499"</f>
        <v>00538499</v>
      </c>
      <c r="H2969">
        <v>19.12</v>
      </c>
      <c r="I2969">
        <v>0</v>
      </c>
      <c r="M2969">
        <v>0</v>
      </c>
      <c r="N2969">
        <v>4</v>
      </c>
      <c r="O2969">
        <v>2</v>
      </c>
      <c r="P2969">
        <v>25.12</v>
      </c>
      <c r="Q2969">
        <v>7</v>
      </c>
      <c r="R2969">
        <v>7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0</v>
      </c>
      <c r="Y2969">
        <v>7</v>
      </c>
      <c r="Z2969">
        <v>6</v>
      </c>
      <c r="AA2969">
        <v>0</v>
      </c>
      <c r="AC2969">
        <v>38.119999999999997</v>
      </c>
    </row>
    <row r="2970" spans="1:29">
      <c r="A2970">
        <v>2963</v>
      </c>
      <c r="B2970">
        <v>3155</v>
      </c>
      <c r="C2970" t="s">
        <v>178</v>
      </c>
      <c r="D2970" t="s">
        <v>159</v>
      </c>
      <c r="E2970" t="s">
        <v>15</v>
      </c>
      <c r="F2970" t="s">
        <v>6235</v>
      </c>
      <c r="G2970" t="str">
        <f>"00441943"</f>
        <v>00441943</v>
      </c>
      <c r="H2970">
        <v>17.079999999999998</v>
      </c>
      <c r="I2970">
        <v>0</v>
      </c>
      <c r="M2970">
        <v>0</v>
      </c>
      <c r="N2970">
        <v>0</v>
      </c>
      <c r="O2970">
        <v>2</v>
      </c>
      <c r="P2970">
        <v>19.079999999999998</v>
      </c>
      <c r="Q2970">
        <v>19</v>
      </c>
      <c r="R2970">
        <v>19</v>
      </c>
      <c r="S2970">
        <v>0</v>
      </c>
      <c r="T2970">
        <v>0</v>
      </c>
      <c r="U2970">
        <v>0</v>
      </c>
      <c r="V2970">
        <v>0</v>
      </c>
      <c r="W2970">
        <v>0</v>
      </c>
      <c r="X2970">
        <v>0</v>
      </c>
      <c r="Y2970">
        <v>19</v>
      </c>
      <c r="Z2970">
        <v>0</v>
      </c>
      <c r="AA2970">
        <v>0</v>
      </c>
      <c r="AC2970">
        <v>38.08</v>
      </c>
    </row>
    <row r="2971" spans="1:29">
      <c r="A2971">
        <v>2964</v>
      </c>
      <c r="B2971">
        <v>3570</v>
      </c>
      <c r="C2971" t="s">
        <v>6237</v>
      </c>
      <c r="D2971" t="s">
        <v>170</v>
      </c>
      <c r="E2971" t="s">
        <v>1263</v>
      </c>
      <c r="F2971" t="s">
        <v>6238</v>
      </c>
      <c r="G2971" t="str">
        <f>"00858451"</f>
        <v>00858451</v>
      </c>
      <c r="H2971">
        <v>32</v>
      </c>
      <c r="I2971">
        <v>0</v>
      </c>
      <c r="M2971">
        <v>0</v>
      </c>
      <c r="N2971">
        <v>0</v>
      </c>
      <c r="O2971">
        <v>0</v>
      </c>
      <c r="P2971">
        <v>32</v>
      </c>
      <c r="Q2971">
        <v>0</v>
      </c>
      <c r="R2971">
        <v>0</v>
      </c>
      <c r="S2971">
        <v>0</v>
      </c>
      <c r="T2971">
        <v>0</v>
      </c>
      <c r="U2971">
        <v>0</v>
      </c>
      <c r="V2971">
        <v>0</v>
      </c>
      <c r="W2971">
        <v>0</v>
      </c>
      <c r="X2971">
        <v>0</v>
      </c>
      <c r="Y2971">
        <v>0</v>
      </c>
      <c r="Z2971">
        <v>6</v>
      </c>
      <c r="AA2971">
        <v>0</v>
      </c>
      <c r="AC2971">
        <v>38</v>
      </c>
    </row>
    <row r="2972" spans="1:29">
      <c r="A2972">
        <v>2965</v>
      </c>
      <c r="B2972">
        <v>4179</v>
      </c>
      <c r="C2972" t="s">
        <v>1631</v>
      </c>
      <c r="D2972" t="s">
        <v>147</v>
      </c>
      <c r="E2972" t="s">
        <v>1527</v>
      </c>
      <c r="F2972" t="s">
        <v>6236</v>
      </c>
      <c r="G2972" t="str">
        <f>"00681112"</f>
        <v>00681112</v>
      </c>
      <c r="H2972">
        <v>32</v>
      </c>
      <c r="I2972">
        <v>0</v>
      </c>
      <c r="M2972">
        <v>0</v>
      </c>
      <c r="N2972">
        <v>0</v>
      </c>
      <c r="O2972">
        <v>0</v>
      </c>
      <c r="P2972">
        <v>32</v>
      </c>
      <c r="Q2972">
        <v>0</v>
      </c>
      <c r="R2972">
        <v>0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0</v>
      </c>
      <c r="Y2972">
        <v>0</v>
      </c>
      <c r="Z2972">
        <v>6</v>
      </c>
      <c r="AA2972">
        <v>0</v>
      </c>
      <c r="AC2972">
        <v>38</v>
      </c>
    </row>
    <row r="2973" spans="1:29">
      <c r="A2973">
        <v>2966</v>
      </c>
      <c r="B2973">
        <v>4388</v>
      </c>
      <c r="C2973" t="s">
        <v>6239</v>
      </c>
      <c r="D2973" t="s">
        <v>276</v>
      </c>
      <c r="E2973" t="s">
        <v>6240</v>
      </c>
      <c r="F2973" t="s">
        <v>6241</v>
      </c>
      <c r="G2973" t="str">
        <f>"00861723"</f>
        <v>00861723</v>
      </c>
      <c r="H2973">
        <v>32</v>
      </c>
      <c r="I2973">
        <v>0</v>
      </c>
      <c r="M2973">
        <v>0</v>
      </c>
      <c r="N2973">
        <v>0</v>
      </c>
      <c r="O2973">
        <v>0</v>
      </c>
      <c r="P2973">
        <v>32</v>
      </c>
      <c r="Q2973">
        <v>0</v>
      </c>
      <c r="R2973">
        <v>0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0</v>
      </c>
      <c r="Z2973">
        <v>6</v>
      </c>
      <c r="AA2973">
        <v>0</v>
      </c>
      <c r="AC2973">
        <v>38</v>
      </c>
    </row>
    <row r="2974" spans="1:29">
      <c r="A2974">
        <v>2967</v>
      </c>
      <c r="B2974">
        <v>614</v>
      </c>
      <c r="C2974" t="s">
        <v>178</v>
      </c>
      <c r="D2974" t="s">
        <v>145</v>
      </c>
      <c r="E2974" t="s">
        <v>156</v>
      </c>
      <c r="F2974" t="s">
        <v>6242</v>
      </c>
      <c r="G2974" t="str">
        <f>"00441722"</f>
        <v>00441722</v>
      </c>
      <c r="H2974">
        <v>32</v>
      </c>
      <c r="I2974">
        <v>0</v>
      </c>
      <c r="M2974">
        <v>0</v>
      </c>
      <c r="N2974">
        <v>0</v>
      </c>
      <c r="O2974">
        <v>0</v>
      </c>
      <c r="P2974">
        <v>32</v>
      </c>
      <c r="Q2974">
        <v>0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0</v>
      </c>
      <c r="Z2974">
        <v>6</v>
      </c>
      <c r="AA2974">
        <v>0</v>
      </c>
      <c r="AC2974">
        <v>38</v>
      </c>
    </row>
    <row r="2975" spans="1:29">
      <c r="A2975">
        <v>2968</v>
      </c>
      <c r="B2975">
        <v>3928</v>
      </c>
      <c r="C2975" t="s">
        <v>6243</v>
      </c>
      <c r="D2975" t="s">
        <v>2441</v>
      </c>
      <c r="E2975" t="s">
        <v>187</v>
      </c>
      <c r="F2975" t="s">
        <v>6244</v>
      </c>
      <c r="G2975" t="str">
        <f>"00519569"</f>
        <v>00519569</v>
      </c>
      <c r="H2975">
        <v>16</v>
      </c>
      <c r="I2975">
        <v>0</v>
      </c>
      <c r="M2975">
        <v>0</v>
      </c>
      <c r="N2975">
        <v>0</v>
      </c>
      <c r="O2975">
        <v>0</v>
      </c>
      <c r="P2975">
        <v>16</v>
      </c>
      <c r="Q2975">
        <v>16</v>
      </c>
      <c r="R2975">
        <v>16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  <c r="Y2975">
        <v>16</v>
      </c>
      <c r="Z2975">
        <v>6</v>
      </c>
      <c r="AA2975">
        <v>0</v>
      </c>
      <c r="AC2975">
        <v>38</v>
      </c>
    </row>
    <row r="2976" spans="1:29">
      <c r="A2976">
        <v>2969</v>
      </c>
      <c r="B2976">
        <v>113</v>
      </c>
      <c r="C2976" t="s">
        <v>6245</v>
      </c>
      <c r="D2976" t="s">
        <v>295</v>
      </c>
      <c r="E2976" t="s">
        <v>15</v>
      </c>
      <c r="F2976" t="s">
        <v>6246</v>
      </c>
      <c r="G2976" t="str">
        <f>"00693550"</f>
        <v>00693550</v>
      </c>
      <c r="H2976">
        <v>38</v>
      </c>
      <c r="I2976">
        <v>0</v>
      </c>
      <c r="M2976">
        <v>0</v>
      </c>
      <c r="N2976">
        <v>0</v>
      </c>
      <c r="O2976">
        <v>0</v>
      </c>
      <c r="P2976">
        <v>38</v>
      </c>
      <c r="Q2976">
        <v>0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  <c r="Y2976">
        <v>0</v>
      </c>
      <c r="Z2976">
        <v>0</v>
      </c>
      <c r="AA2976">
        <v>0</v>
      </c>
      <c r="AC2976">
        <v>38</v>
      </c>
    </row>
    <row r="2977" spans="1:29">
      <c r="A2977">
        <v>2970</v>
      </c>
      <c r="B2977">
        <v>4907</v>
      </c>
      <c r="C2977" t="s">
        <v>6247</v>
      </c>
      <c r="D2977" t="s">
        <v>167</v>
      </c>
      <c r="E2977" t="s">
        <v>6248</v>
      </c>
      <c r="F2977" t="s">
        <v>6249</v>
      </c>
      <c r="G2977" t="str">
        <f>"00865547"</f>
        <v>00865547</v>
      </c>
      <c r="H2977">
        <v>38</v>
      </c>
      <c r="I2977">
        <v>0</v>
      </c>
      <c r="M2977">
        <v>0</v>
      </c>
      <c r="N2977">
        <v>0</v>
      </c>
      <c r="O2977">
        <v>0</v>
      </c>
      <c r="P2977">
        <v>38</v>
      </c>
      <c r="Q2977">
        <v>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0</v>
      </c>
      <c r="Z2977">
        <v>0</v>
      </c>
      <c r="AA2977">
        <v>0</v>
      </c>
      <c r="AC2977">
        <v>38</v>
      </c>
    </row>
    <row r="2978" spans="1:29">
      <c r="A2978">
        <v>2971</v>
      </c>
      <c r="B2978">
        <v>2049</v>
      </c>
      <c r="C2978" t="s">
        <v>6252</v>
      </c>
      <c r="D2978" t="s">
        <v>130</v>
      </c>
      <c r="E2978" t="s">
        <v>115</v>
      </c>
      <c r="F2978" t="s">
        <v>6253</v>
      </c>
      <c r="G2978" t="str">
        <f>"00863932"</f>
        <v>00863932</v>
      </c>
      <c r="H2978">
        <v>36</v>
      </c>
      <c r="I2978">
        <v>0</v>
      </c>
      <c r="M2978">
        <v>0</v>
      </c>
      <c r="N2978">
        <v>0</v>
      </c>
      <c r="O2978">
        <v>2</v>
      </c>
      <c r="P2978">
        <v>38</v>
      </c>
      <c r="Q2978">
        <v>0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  <c r="Y2978">
        <v>0</v>
      </c>
      <c r="Z2978">
        <v>0</v>
      </c>
      <c r="AA2978">
        <v>0</v>
      </c>
      <c r="AC2978">
        <v>38</v>
      </c>
    </row>
    <row r="2979" spans="1:29">
      <c r="A2979">
        <v>2972</v>
      </c>
      <c r="B2979">
        <v>3948</v>
      </c>
      <c r="C2979" t="s">
        <v>6254</v>
      </c>
      <c r="D2979" t="s">
        <v>17</v>
      </c>
      <c r="E2979" t="s">
        <v>237</v>
      </c>
      <c r="F2979" t="s">
        <v>6255</v>
      </c>
      <c r="G2979" t="str">
        <f>"00534156"</f>
        <v>00534156</v>
      </c>
      <c r="H2979">
        <v>36</v>
      </c>
      <c r="I2979">
        <v>0</v>
      </c>
      <c r="M2979">
        <v>0</v>
      </c>
      <c r="N2979">
        <v>0</v>
      </c>
      <c r="O2979">
        <v>2</v>
      </c>
      <c r="P2979">
        <v>38</v>
      </c>
      <c r="Q2979">
        <v>0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0</v>
      </c>
      <c r="Z2979">
        <v>0</v>
      </c>
      <c r="AA2979">
        <v>0</v>
      </c>
      <c r="AC2979">
        <v>38</v>
      </c>
    </row>
    <row r="2980" spans="1:29">
      <c r="A2980">
        <v>2973</v>
      </c>
      <c r="B2980">
        <v>3091</v>
      </c>
      <c r="C2980" t="s">
        <v>6250</v>
      </c>
      <c r="D2980" t="s">
        <v>98</v>
      </c>
      <c r="E2980" t="s">
        <v>15</v>
      </c>
      <c r="F2980" t="s">
        <v>6251</v>
      </c>
      <c r="G2980" t="str">
        <f>"00863734"</f>
        <v>00863734</v>
      </c>
      <c r="H2980">
        <v>36</v>
      </c>
      <c r="I2980">
        <v>0</v>
      </c>
      <c r="M2980">
        <v>0</v>
      </c>
      <c r="N2980">
        <v>0</v>
      </c>
      <c r="O2980">
        <v>2</v>
      </c>
      <c r="P2980">
        <v>38</v>
      </c>
      <c r="Q2980">
        <v>0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0</v>
      </c>
      <c r="Y2980">
        <v>0</v>
      </c>
      <c r="Z2980">
        <v>0</v>
      </c>
      <c r="AA2980">
        <v>0</v>
      </c>
      <c r="AC2980">
        <v>38</v>
      </c>
    </row>
    <row r="2981" spans="1:29">
      <c r="A2981">
        <v>2974</v>
      </c>
      <c r="B2981">
        <v>3657</v>
      </c>
      <c r="C2981" t="s">
        <v>6256</v>
      </c>
      <c r="D2981" t="s">
        <v>6257</v>
      </c>
      <c r="E2981" t="s">
        <v>134</v>
      </c>
      <c r="F2981" t="s">
        <v>6258</v>
      </c>
      <c r="G2981" t="str">
        <f>"00085500"</f>
        <v>00085500</v>
      </c>
      <c r="H2981">
        <v>24</v>
      </c>
      <c r="I2981">
        <v>10</v>
      </c>
      <c r="M2981">
        <v>0</v>
      </c>
      <c r="N2981">
        <v>4</v>
      </c>
      <c r="O2981">
        <v>0</v>
      </c>
      <c r="P2981">
        <v>38</v>
      </c>
      <c r="Q2981">
        <v>0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0</v>
      </c>
      <c r="X2981">
        <v>0</v>
      </c>
      <c r="Y2981">
        <v>0</v>
      </c>
      <c r="Z2981">
        <v>0</v>
      </c>
      <c r="AA2981">
        <v>0</v>
      </c>
      <c r="AC2981">
        <v>38</v>
      </c>
    </row>
    <row r="2982" spans="1:29">
      <c r="A2982">
        <v>2975</v>
      </c>
      <c r="B2982">
        <v>4681</v>
      </c>
      <c r="C2982" t="s">
        <v>6259</v>
      </c>
      <c r="D2982" t="s">
        <v>52</v>
      </c>
      <c r="E2982" t="s">
        <v>79</v>
      </c>
      <c r="F2982" t="s">
        <v>6260</v>
      </c>
      <c r="G2982" t="str">
        <f>"201402008140"</f>
        <v>201402008140</v>
      </c>
      <c r="H2982">
        <v>24</v>
      </c>
      <c r="I2982">
        <v>10</v>
      </c>
      <c r="M2982">
        <v>0</v>
      </c>
      <c r="N2982">
        <v>4</v>
      </c>
      <c r="O2982">
        <v>0</v>
      </c>
      <c r="P2982">
        <v>38</v>
      </c>
      <c r="Q2982">
        <v>0</v>
      </c>
      <c r="R2982">
        <v>0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  <c r="Y2982">
        <v>0</v>
      </c>
      <c r="Z2982">
        <v>0</v>
      </c>
      <c r="AA2982">
        <v>0</v>
      </c>
      <c r="AC2982">
        <v>38</v>
      </c>
    </row>
    <row r="2983" spans="1:29">
      <c r="A2983">
        <v>2976</v>
      </c>
      <c r="B2983">
        <v>470</v>
      </c>
      <c r="C2983" t="s">
        <v>3281</v>
      </c>
      <c r="D2983" t="s">
        <v>130</v>
      </c>
      <c r="E2983" t="s">
        <v>237</v>
      </c>
      <c r="F2983" t="s">
        <v>6261</v>
      </c>
      <c r="G2983" t="str">
        <f>"00644847"</f>
        <v>00644847</v>
      </c>
      <c r="H2983">
        <v>20</v>
      </c>
      <c r="I2983">
        <v>10</v>
      </c>
      <c r="L2983">
        <v>4</v>
      </c>
      <c r="M2983">
        <v>4</v>
      </c>
      <c r="N2983">
        <v>4</v>
      </c>
      <c r="O2983">
        <v>0</v>
      </c>
      <c r="P2983">
        <v>38</v>
      </c>
      <c r="Q2983">
        <v>0</v>
      </c>
      <c r="R2983">
        <v>0</v>
      </c>
      <c r="S2983">
        <v>0</v>
      </c>
      <c r="T2983">
        <v>0</v>
      </c>
      <c r="U2983">
        <v>0</v>
      </c>
      <c r="V2983">
        <v>0</v>
      </c>
      <c r="W2983">
        <v>0</v>
      </c>
      <c r="X2983">
        <v>0</v>
      </c>
      <c r="Y2983">
        <v>0</v>
      </c>
      <c r="Z2983">
        <v>0</v>
      </c>
      <c r="AA2983">
        <v>0</v>
      </c>
      <c r="AC2983">
        <v>38</v>
      </c>
    </row>
    <row r="2984" spans="1:29">
      <c r="A2984">
        <v>2977</v>
      </c>
      <c r="B2984">
        <v>2095</v>
      </c>
      <c r="C2984" t="s">
        <v>5722</v>
      </c>
      <c r="D2984" t="s">
        <v>63</v>
      </c>
      <c r="E2984" t="s">
        <v>644</v>
      </c>
      <c r="F2984" t="s">
        <v>6262</v>
      </c>
      <c r="G2984" t="str">
        <f>"00359077"</f>
        <v>00359077</v>
      </c>
      <c r="H2984">
        <v>22.84</v>
      </c>
      <c r="I2984">
        <v>0</v>
      </c>
      <c r="J2984">
        <v>8</v>
      </c>
      <c r="M2984">
        <v>8</v>
      </c>
      <c r="N2984">
        <v>4</v>
      </c>
      <c r="O2984">
        <v>0</v>
      </c>
      <c r="P2984">
        <v>34.840000000000003</v>
      </c>
      <c r="Q2984">
        <v>0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0</v>
      </c>
      <c r="Y2984">
        <v>0</v>
      </c>
      <c r="Z2984">
        <v>3</v>
      </c>
      <c r="AA2984">
        <v>0</v>
      </c>
      <c r="AC2984">
        <v>37.840000000000003</v>
      </c>
    </row>
    <row r="2985" spans="1:29">
      <c r="A2985">
        <v>2978</v>
      </c>
      <c r="B2985">
        <v>3951</v>
      </c>
      <c r="C2985" t="s">
        <v>1631</v>
      </c>
      <c r="D2985" t="s">
        <v>95</v>
      </c>
      <c r="E2985" t="s">
        <v>66</v>
      </c>
      <c r="F2985" t="s">
        <v>6265</v>
      </c>
      <c r="G2985" t="str">
        <f>"00664060"</f>
        <v>00664060</v>
      </c>
      <c r="H2985">
        <v>28.8</v>
      </c>
      <c r="I2985">
        <v>0</v>
      </c>
      <c r="M2985">
        <v>0</v>
      </c>
      <c r="N2985">
        <v>0</v>
      </c>
      <c r="O2985">
        <v>0</v>
      </c>
      <c r="P2985">
        <v>28.8</v>
      </c>
      <c r="Q2985">
        <v>0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0</v>
      </c>
      <c r="Z2985">
        <v>9</v>
      </c>
      <c r="AA2985">
        <v>0</v>
      </c>
      <c r="AC2985">
        <v>37.799999999999997</v>
      </c>
    </row>
    <row r="2986" spans="1:29">
      <c r="A2986">
        <v>2979</v>
      </c>
      <c r="B2986">
        <v>3940</v>
      </c>
      <c r="C2986" t="s">
        <v>6263</v>
      </c>
      <c r="D2986" t="s">
        <v>52</v>
      </c>
      <c r="E2986" t="s">
        <v>165</v>
      </c>
      <c r="F2986" t="s">
        <v>6264</v>
      </c>
      <c r="G2986" t="str">
        <f>"00864015"</f>
        <v>00864015</v>
      </c>
      <c r="H2986">
        <v>28.8</v>
      </c>
      <c r="I2986">
        <v>0</v>
      </c>
      <c r="M2986">
        <v>0</v>
      </c>
      <c r="N2986">
        <v>0</v>
      </c>
      <c r="O2986">
        <v>0</v>
      </c>
      <c r="P2986">
        <v>28.8</v>
      </c>
      <c r="Q2986">
        <v>0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  <c r="Y2986">
        <v>0</v>
      </c>
      <c r="Z2986">
        <v>9</v>
      </c>
      <c r="AA2986">
        <v>0</v>
      </c>
      <c r="AC2986">
        <v>37.799999999999997</v>
      </c>
    </row>
    <row r="2987" spans="1:29">
      <c r="A2987">
        <v>2980</v>
      </c>
      <c r="B2987">
        <v>207</v>
      </c>
      <c r="C2987" t="s">
        <v>700</v>
      </c>
      <c r="D2987" t="s">
        <v>784</v>
      </c>
      <c r="E2987" t="s">
        <v>156</v>
      </c>
      <c r="F2987" t="s">
        <v>6266</v>
      </c>
      <c r="G2987" t="str">
        <f>"00857802"</f>
        <v>00857802</v>
      </c>
      <c r="H2987">
        <v>28.8</v>
      </c>
      <c r="I2987">
        <v>0</v>
      </c>
      <c r="M2987">
        <v>0</v>
      </c>
      <c r="N2987">
        <v>4</v>
      </c>
      <c r="O2987">
        <v>2</v>
      </c>
      <c r="P2987">
        <v>34.799999999999997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  <c r="Y2987">
        <v>0</v>
      </c>
      <c r="Z2987">
        <v>3</v>
      </c>
      <c r="AA2987">
        <v>0</v>
      </c>
      <c r="AC2987">
        <v>37.799999999999997</v>
      </c>
    </row>
    <row r="2988" spans="1:29">
      <c r="A2988">
        <v>2981</v>
      </c>
      <c r="B2988">
        <v>3169</v>
      </c>
      <c r="C2988" t="s">
        <v>6267</v>
      </c>
      <c r="D2988" t="s">
        <v>52</v>
      </c>
      <c r="E2988" t="s">
        <v>252</v>
      </c>
      <c r="F2988" t="s">
        <v>6268</v>
      </c>
      <c r="G2988" t="str">
        <f>"00759500"</f>
        <v>00759500</v>
      </c>
      <c r="H2988">
        <v>28.8</v>
      </c>
      <c r="I2988">
        <v>0</v>
      </c>
      <c r="M2988">
        <v>0</v>
      </c>
      <c r="N2988">
        <v>4</v>
      </c>
      <c r="O2988">
        <v>2</v>
      </c>
      <c r="P2988">
        <v>34.799999999999997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  <c r="Y2988">
        <v>0</v>
      </c>
      <c r="Z2988">
        <v>3</v>
      </c>
      <c r="AA2988">
        <v>0</v>
      </c>
      <c r="AC2988">
        <v>37.799999999999997</v>
      </c>
    </row>
    <row r="2989" spans="1:29">
      <c r="A2989">
        <v>2982</v>
      </c>
      <c r="B2989">
        <v>1657</v>
      </c>
      <c r="C2989" t="s">
        <v>6269</v>
      </c>
      <c r="D2989" t="s">
        <v>167</v>
      </c>
      <c r="E2989" t="s">
        <v>36</v>
      </c>
      <c r="F2989" t="s">
        <v>6270</v>
      </c>
      <c r="G2989" t="str">
        <f>"201410007844"</f>
        <v>201410007844</v>
      </c>
      <c r="H2989">
        <v>28.8</v>
      </c>
      <c r="I2989">
        <v>0</v>
      </c>
      <c r="M2989">
        <v>0</v>
      </c>
      <c r="N2989">
        <v>4</v>
      </c>
      <c r="O2989">
        <v>2</v>
      </c>
      <c r="P2989">
        <v>34.799999999999997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0</v>
      </c>
      <c r="Y2989">
        <v>0</v>
      </c>
      <c r="Z2989">
        <v>3</v>
      </c>
      <c r="AA2989">
        <v>0</v>
      </c>
      <c r="AC2989">
        <v>37.799999999999997</v>
      </c>
    </row>
    <row r="2990" spans="1:29">
      <c r="A2990">
        <v>2983</v>
      </c>
      <c r="B2990">
        <v>4707</v>
      </c>
      <c r="C2990" t="s">
        <v>6271</v>
      </c>
      <c r="D2990" t="s">
        <v>6272</v>
      </c>
      <c r="E2990" t="s">
        <v>6273</v>
      </c>
      <c r="F2990" t="s">
        <v>6274</v>
      </c>
      <c r="G2990" t="str">
        <f>"00021807"</f>
        <v>00021807</v>
      </c>
      <c r="H2990">
        <v>37.799999999999997</v>
      </c>
      <c r="I2990">
        <v>0</v>
      </c>
      <c r="M2990">
        <v>0</v>
      </c>
      <c r="N2990">
        <v>0</v>
      </c>
      <c r="O2990">
        <v>0</v>
      </c>
      <c r="P2990">
        <v>37.799999999999997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  <c r="Y2990">
        <v>0</v>
      </c>
      <c r="Z2990">
        <v>0</v>
      </c>
      <c r="AA2990">
        <v>0</v>
      </c>
      <c r="AC2990">
        <v>37.799999999999997</v>
      </c>
    </row>
    <row r="2991" spans="1:29">
      <c r="A2991">
        <v>2984</v>
      </c>
      <c r="B2991">
        <v>1518</v>
      </c>
      <c r="C2991" t="s">
        <v>6275</v>
      </c>
      <c r="D2991" t="s">
        <v>4720</v>
      </c>
      <c r="E2991" t="s">
        <v>304</v>
      </c>
      <c r="F2991" t="s">
        <v>6276</v>
      </c>
      <c r="G2991" t="str">
        <f>"201511016420"</f>
        <v>201511016420</v>
      </c>
      <c r="H2991">
        <v>29.76</v>
      </c>
      <c r="I2991">
        <v>0</v>
      </c>
      <c r="L2991">
        <v>4</v>
      </c>
      <c r="M2991">
        <v>4</v>
      </c>
      <c r="N2991">
        <v>4</v>
      </c>
      <c r="O2991">
        <v>0</v>
      </c>
      <c r="P2991">
        <v>37.76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0</v>
      </c>
      <c r="Z2991">
        <v>0</v>
      </c>
      <c r="AA2991">
        <v>0</v>
      </c>
      <c r="AC2991">
        <v>37.76</v>
      </c>
    </row>
    <row r="2992" spans="1:29">
      <c r="A2992">
        <v>2985</v>
      </c>
      <c r="B2992">
        <v>3995</v>
      </c>
      <c r="C2992" t="s">
        <v>1150</v>
      </c>
      <c r="D2992" t="s">
        <v>811</v>
      </c>
      <c r="E2992" t="s">
        <v>1450</v>
      </c>
      <c r="F2992" t="s">
        <v>6277</v>
      </c>
      <c r="G2992" t="str">
        <f>"00132093"</f>
        <v>00132093</v>
      </c>
      <c r="H2992">
        <v>19.72</v>
      </c>
      <c r="I2992">
        <v>0</v>
      </c>
      <c r="J2992">
        <v>8</v>
      </c>
      <c r="M2992">
        <v>8</v>
      </c>
      <c r="N2992">
        <v>4</v>
      </c>
      <c r="O2992">
        <v>0</v>
      </c>
      <c r="P2992">
        <v>31.72</v>
      </c>
      <c r="Q2992">
        <v>0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  <c r="Y2992">
        <v>0</v>
      </c>
      <c r="Z2992">
        <v>6</v>
      </c>
      <c r="AA2992">
        <v>0</v>
      </c>
      <c r="AC2992">
        <v>37.72</v>
      </c>
    </row>
    <row r="2993" spans="1:29">
      <c r="A2993">
        <v>2986</v>
      </c>
      <c r="B2993">
        <v>1499</v>
      </c>
      <c r="C2993" t="s">
        <v>6130</v>
      </c>
      <c r="D2993" t="s">
        <v>2162</v>
      </c>
      <c r="E2993" t="s">
        <v>79</v>
      </c>
      <c r="F2993" t="s">
        <v>6278</v>
      </c>
      <c r="G2993" t="str">
        <f>"00517261"</f>
        <v>00517261</v>
      </c>
      <c r="H2993">
        <v>14.68</v>
      </c>
      <c r="I2993">
        <v>0</v>
      </c>
      <c r="M2993">
        <v>0</v>
      </c>
      <c r="N2993">
        <v>0</v>
      </c>
      <c r="O2993">
        <v>0</v>
      </c>
      <c r="P2993">
        <v>14.68</v>
      </c>
      <c r="Q2993">
        <v>14</v>
      </c>
      <c r="R2993">
        <v>14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14</v>
      </c>
      <c r="Z2993">
        <v>9</v>
      </c>
      <c r="AA2993">
        <v>0</v>
      </c>
      <c r="AC2993">
        <v>37.68</v>
      </c>
    </row>
    <row r="2994" spans="1:29">
      <c r="A2994">
        <v>2987</v>
      </c>
      <c r="B2994">
        <v>4589</v>
      </c>
      <c r="C2994" t="s">
        <v>3548</v>
      </c>
      <c r="D2994" t="s">
        <v>205</v>
      </c>
      <c r="E2994" t="s">
        <v>36</v>
      </c>
      <c r="F2994" t="s">
        <v>6279</v>
      </c>
      <c r="G2994" t="str">
        <f>"00484447"</f>
        <v>00484447</v>
      </c>
      <c r="H2994">
        <v>30.68</v>
      </c>
      <c r="I2994">
        <v>0</v>
      </c>
      <c r="L2994">
        <v>4</v>
      </c>
      <c r="M2994">
        <v>4</v>
      </c>
      <c r="N2994">
        <v>0</v>
      </c>
      <c r="O2994">
        <v>0</v>
      </c>
      <c r="P2994">
        <v>34.68</v>
      </c>
      <c r="Q2994">
        <v>0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0</v>
      </c>
      <c r="Z2994">
        <v>3</v>
      </c>
      <c r="AA2994">
        <v>0</v>
      </c>
      <c r="AC2994">
        <v>37.68</v>
      </c>
    </row>
    <row r="2995" spans="1:29">
      <c r="A2995">
        <v>2988</v>
      </c>
      <c r="B2995">
        <v>2082</v>
      </c>
      <c r="C2995" t="s">
        <v>6280</v>
      </c>
      <c r="D2995" t="s">
        <v>1370</v>
      </c>
      <c r="E2995" t="s">
        <v>36</v>
      </c>
      <c r="F2995" t="s">
        <v>6281</v>
      </c>
      <c r="G2995" t="str">
        <f>"00562322"</f>
        <v>00562322</v>
      </c>
      <c r="H2995">
        <v>27.68</v>
      </c>
      <c r="I2995">
        <v>0</v>
      </c>
      <c r="L2995">
        <v>4</v>
      </c>
      <c r="M2995">
        <v>4</v>
      </c>
      <c r="N2995">
        <v>4</v>
      </c>
      <c r="O2995">
        <v>2</v>
      </c>
      <c r="P2995">
        <v>37.68</v>
      </c>
      <c r="Q2995">
        <v>0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  <c r="Y2995">
        <v>0</v>
      </c>
      <c r="Z2995">
        <v>0</v>
      </c>
      <c r="AA2995">
        <v>0</v>
      </c>
      <c r="AC2995">
        <v>37.68</v>
      </c>
    </row>
    <row r="2996" spans="1:29">
      <c r="A2996">
        <v>2989</v>
      </c>
      <c r="B2996">
        <v>3806</v>
      </c>
      <c r="C2996" t="s">
        <v>6282</v>
      </c>
      <c r="D2996" t="s">
        <v>98</v>
      </c>
      <c r="E2996" t="s">
        <v>66</v>
      </c>
      <c r="F2996" t="s">
        <v>6283</v>
      </c>
      <c r="G2996" t="str">
        <f>"00148455"</f>
        <v>00148455</v>
      </c>
      <c r="H2996">
        <v>21.6</v>
      </c>
      <c r="I2996">
        <v>0</v>
      </c>
      <c r="L2996">
        <v>4</v>
      </c>
      <c r="M2996">
        <v>4</v>
      </c>
      <c r="N2996">
        <v>4</v>
      </c>
      <c r="O2996">
        <v>2</v>
      </c>
      <c r="P2996">
        <v>31.6</v>
      </c>
      <c r="Q2996">
        <v>0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0</v>
      </c>
      <c r="Y2996">
        <v>0</v>
      </c>
      <c r="Z2996">
        <v>6</v>
      </c>
      <c r="AA2996">
        <v>0</v>
      </c>
      <c r="AC2996">
        <v>37.6</v>
      </c>
    </row>
    <row r="2997" spans="1:29">
      <c r="A2997">
        <v>2990</v>
      </c>
      <c r="B2997">
        <v>1841</v>
      </c>
      <c r="C2997" t="s">
        <v>6284</v>
      </c>
      <c r="D2997" t="s">
        <v>6285</v>
      </c>
      <c r="E2997" t="s">
        <v>647</v>
      </c>
      <c r="F2997" t="s">
        <v>6286</v>
      </c>
      <c r="G2997" t="str">
        <f>"00477150"</f>
        <v>00477150</v>
      </c>
      <c r="H2997">
        <v>21.6</v>
      </c>
      <c r="I2997">
        <v>0</v>
      </c>
      <c r="M2997">
        <v>0</v>
      </c>
      <c r="N2997">
        <v>4</v>
      </c>
      <c r="O2997">
        <v>0</v>
      </c>
      <c r="P2997">
        <v>25.6</v>
      </c>
      <c r="Q2997">
        <v>6</v>
      </c>
      <c r="R2997">
        <v>6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6</v>
      </c>
      <c r="Z2997">
        <v>6</v>
      </c>
      <c r="AA2997">
        <v>0</v>
      </c>
      <c r="AC2997">
        <v>37.6</v>
      </c>
    </row>
    <row r="2998" spans="1:29">
      <c r="A2998">
        <v>2991</v>
      </c>
      <c r="B2998">
        <v>3583</v>
      </c>
      <c r="C2998" t="s">
        <v>260</v>
      </c>
      <c r="D2998" t="s">
        <v>167</v>
      </c>
      <c r="E2998" t="s">
        <v>79</v>
      </c>
      <c r="F2998" t="s">
        <v>6287</v>
      </c>
      <c r="G2998" t="str">
        <f>"201510001273"</f>
        <v>201510001273</v>
      </c>
      <c r="H2998">
        <v>37.6</v>
      </c>
      <c r="I2998">
        <v>0</v>
      </c>
      <c r="M2998">
        <v>0</v>
      </c>
      <c r="N2998">
        <v>0</v>
      </c>
      <c r="O2998">
        <v>0</v>
      </c>
      <c r="P2998">
        <v>37.6</v>
      </c>
      <c r="Q2998">
        <v>0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0</v>
      </c>
      <c r="Z2998">
        <v>0</v>
      </c>
      <c r="AA2998">
        <v>0</v>
      </c>
      <c r="AC2998">
        <v>37.6</v>
      </c>
    </row>
    <row r="2999" spans="1:29">
      <c r="A2999">
        <v>2992</v>
      </c>
      <c r="B2999">
        <v>701</v>
      </c>
      <c r="C2999" t="s">
        <v>6288</v>
      </c>
      <c r="D2999" t="s">
        <v>1577</v>
      </c>
      <c r="E2999" t="s">
        <v>15</v>
      </c>
      <c r="F2999" t="s">
        <v>6289</v>
      </c>
      <c r="G2999" t="str">
        <f>"00720267"</f>
        <v>00720267</v>
      </c>
      <c r="H2999">
        <v>33.6</v>
      </c>
      <c r="I2999">
        <v>0</v>
      </c>
      <c r="L2999">
        <v>4</v>
      </c>
      <c r="M2999">
        <v>4</v>
      </c>
      <c r="N2999">
        <v>0</v>
      </c>
      <c r="O2999">
        <v>0</v>
      </c>
      <c r="P2999">
        <v>37.6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0</v>
      </c>
      <c r="Z2999">
        <v>0</v>
      </c>
      <c r="AA2999">
        <v>0</v>
      </c>
      <c r="AC2999">
        <v>37.6</v>
      </c>
    </row>
    <row r="3000" spans="1:29">
      <c r="A3000">
        <v>2993</v>
      </c>
      <c r="B3000">
        <v>476</v>
      </c>
      <c r="C3000" t="s">
        <v>6290</v>
      </c>
      <c r="D3000" t="s">
        <v>164</v>
      </c>
      <c r="E3000" t="s">
        <v>15</v>
      </c>
      <c r="F3000" t="s">
        <v>6291</v>
      </c>
      <c r="G3000" t="str">
        <f>"00857703"</f>
        <v>00857703</v>
      </c>
      <c r="H3000">
        <v>31.6</v>
      </c>
      <c r="I3000">
        <v>0</v>
      </c>
      <c r="M3000">
        <v>0</v>
      </c>
      <c r="N3000">
        <v>4</v>
      </c>
      <c r="O3000">
        <v>2</v>
      </c>
      <c r="P3000">
        <v>37.6</v>
      </c>
      <c r="Q3000">
        <v>0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0</v>
      </c>
      <c r="Y3000">
        <v>0</v>
      </c>
      <c r="Z3000">
        <v>0</v>
      </c>
      <c r="AA3000">
        <v>0</v>
      </c>
      <c r="AC3000">
        <v>37.6</v>
      </c>
    </row>
    <row r="3001" spans="1:29">
      <c r="A3001">
        <v>2994</v>
      </c>
      <c r="B3001">
        <v>1037</v>
      </c>
      <c r="C3001" t="s">
        <v>6299</v>
      </c>
      <c r="D3001" t="s">
        <v>329</v>
      </c>
      <c r="E3001" t="s">
        <v>6300</v>
      </c>
      <c r="F3001" t="s">
        <v>6301</v>
      </c>
      <c r="G3001" t="str">
        <f>"201401001771"</f>
        <v>201401001771</v>
      </c>
      <c r="H3001">
        <v>21.6</v>
      </c>
      <c r="I3001">
        <v>10</v>
      </c>
      <c r="M3001">
        <v>0</v>
      </c>
      <c r="N3001">
        <v>4</v>
      </c>
      <c r="O3001">
        <v>2</v>
      </c>
      <c r="P3001">
        <v>37.6</v>
      </c>
      <c r="Q3001">
        <v>0</v>
      </c>
      <c r="R3001">
        <v>0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  <c r="Y3001">
        <v>0</v>
      </c>
      <c r="Z3001">
        <v>0</v>
      </c>
      <c r="AA3001">
        <v>0</v>
      </c>
      <c r="AC3001">
        <v>37.6</v>
      </c>
    </row>
    <row r="3002" spans="1:29">
      <c r="A3002">
        <v>2995</v>
      </c>
      <c r="B3002">
        <v>2285</v>
      </c>
      <c r="C3002" t="s">
        <v>1419</v>
      </c>
      <c r="D3002" t="s">
        <v>167</v>
      </c>
      <c r="E3002" t="s">
        <v>134</v>
      </c>
      <c r="F3002" t="s">
        <v>6298</v>
      </c>
      <c r="G3002" t="str">
        <f>"00398165"</f>
        <v>00398165</v>
      </c>
      <c r="H3002">
        <v>21.6</v>
      </c>
      <c r="I3002">
        <v>10</v>
      </c>
      <c r="M3002">
        <v>0</v>
      </c>
      <c r="N3002">
        <v>4</v>
      </c>
      <c r="O3002">
        <v>2</v>
      </c>
      <c r="P3002">
        <v>37.6</v>
      </c>
      <c r="Q3002">
        <v>0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  <c r="Y3002">
        <v>0</v>
      </c>
      <c r="Z3002">
        <v>0</v>
      </c>
      <c r="AA3002">
        <v>0</v>
      </c>
      <c r="AC3002">
        <v>37.6</v>
      </c>
    </row>
    <row r="3003" spans="1:29">
      <c r="A3003">
        <v>2996</v>
      </c>
      <c r="B3003">
        <v>1704</v>
      </c>
      <c r="C3003" t="s">
        <v>6295</v>
      </c>
      <c r="D3003" t="s">
        <v>6296</v>
      </c>
      <c r="E3003" t="s">
        <v>1119</v>
      </c>
      <c r="F3003" t="s">
        <v>6297</v>
      </c>
      <c r="G3003" t="str">
        <f>"00135388"</f>
        <v>00135388</v>
      </c>
      <c r="H3003">
        <v>21.6</v>
      </c>
      <c r="I3003">
        <v>0</v>
      </c>
      <c r="J3003">
        <v>8</v>
      </c>
      <c r="L3003">
        <v>4</v>
      </c>
      <c r="M3003">
        <v>12</v>
      </c>
      <c r="N3003">
        <v>4</v>
      </c>
      <c r="O3003">
        <v>0</v>
      </c>
      <c r="P3003">
        <v>37.6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0</v>
      </c>
      <c r="Z3003">
        <v>0</v>
      </c>
      <c r="AA3003">
        <v>0</v>
      </c>
      <c r="AC3003">
        <v>37.6</v>
      </c>
    </row>
    <row r="3004" spans="1:29">
      <c r="A3004">
        <v>2997</v>
      </c>
      <c r="B3004">
        <v>2055</v>
      </c>
      <c r="C3004" t="s">
        <v>2561</v>
      </c>
      <c r="D3004" t="s">
        <v>3233</v>
      </c>
      <c r="E3004" t="s">
        <v>156</v>
      </c>
      <c r="F3004" t="s">
        <v>6294</v>
      </c>
      <c r="G3004" t="str">
        <f>"00556370"</f>
        <v>00556370</v>
      </c>
      <c r="H3004">
        <v>21.6</v>
      </c>
      <c r="I3004">
        <v>10</v>
      </c>
      <c r="M3004">
        <v>0</v>
      </c>
      <c r="N3004">
        <v>4</v>
      </c>
      <c r="O3004">
        <v>2</v>
      </c>
      <c r="P3004">
        <v>37.6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0</v>
      </c>
      <c r="Z3004">
        <v>0</v>
      </c>
      <c r="AA3004">
        <v>0</v>
      </c>
      <c r="AC3004">
        <v>37.6</v>
      </c>
    </row>
    <row r="3005" spans="1:29">
      <c r="A3005">
        <v>2998</v>
      </c>
      <c r="B3005">
        <v>4498</v>
      </c>
      <c r="C3005" t="s">
        <v>6292</v>
      </c>
      <c r="D3005" t="s">
        <v>31</v>
      </c>
      <c r="E3005" t="s">
        <v>32</v>
      </c>
      <c r="F3005" t="s">
        <v>6293</v>
      </c>
      <c r="G3005" t="str">
        <f>"00198517"</f>
        <v>00198517</v>
      </c>
      <c r="H3005">
        <v>21.6</v>
      </c>
      <c r="I3005">
        <v>10</v>
      </c>
      <c r="M3005">
        <v>0</v>
      </c>
      <c r="N3005">
        <v>4</v>
      </c>
      <c r="O3005">
        <v>2</v>
      </c>
      <c r="P3005">
        <v>37.6</v>
      </c>
      <c r="Q3005">
        <v>0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0</v>
      </c>
      <c r="X3005">
        <v>0</v>
      </c>
      <c r="Y3005">
        <v>0</v>
      </c>
      <c r="Z3005">
        <v>0</v>
      </c>
      <c r="AA3005">
        <v>0</v>
      </c>
      <c r="AC3005">
        <v>37.6</v>
      </c>
    </row>
    <row r="3006" spans="1:29">
      <c r="A3006">
        <v>2999</v>
      </c>
      <c r="B3006">
        <v>365</v>
      </c>
      <c r="C3006" t="s">
        <v>6302</v>
      </c>
      <c r="D3006" t="s">
        <v>544</v>
      </c>
      <c r="E3006" t="s">
        <v>79</v>
      </c>
      <c r="F3006" t="s">
        <v>6303</v>
      </c>
      <c r="G3006" t="str">
        <f>"00531127"</f>
        <v>00531127</v>
      </c>
      <c r="H3006">
        <v>21.6</v>
      </c>
      <c r="I3006">
        <v>0</v>
      </c>
      <c r="L3006">
        <v>4</v>
      </c>
      <c r="M3006">
        <v>4</v>
      </c>
      <c r="N3006">
        <v>4</v>
      </c>
      <c r="O3006">
        <v>2</v>
      </c>
      <c r="P3006">
        <v>31.6</v>
      </c>
      <c r="Q3006">
        <v>6</v>
      </c>
      <c r="R3006">
        <v>6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  <c r="Y3006">
        <v>6</v>
      </c>
      <c r="Z3006">
        <v>0</v>
      </c>
      <c r="AA3006">
        <v>0</v>
      </c>
      <c r="AC3006">
        <v>37.6</v>
      </c>
    </row>
    <row r="3007" spans="1:29">
      <c r="A3007">
        <v>3000</v>
      </c>
      <c r="B3007">
        <v>4970</v>
      </c>
      <c r="C3007" t="s">
        <v>178</v>
      </c>
      <c r="D3007" t="s">
        <v>27</v>
      </c>
      <c r="E3007" t="s">
        <v>79</v>
      </c>
      <c r="F3007" t="s">
        <v>6304</v>
      </c>
      <c r="G3007" t="str">
        <f>"00269150"</f>
        <v>00269150</v>
      </c>
      <c r="H3007">
        <v>37.520000000000003</v>
      </c>
      <c r="I3007">
        <v>0</v>
      </c>
      <c r="M3007">
        <v>0</v>
      </c>
      <c r="N3007">
        <v>0</v>
      </c>
      <c r="O3007">
        <v>0</v>
      </c>
      <c r="P3007">
        <v>37.520000000000003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0</v>
      </c>
      <c r="Z3007">
        <v>0</v>
      </c>
      <c r="AA3007">
        <v>0</v>
      </c>
      <c r="AC3007">
        <v>37.520000000000003</v>
      </c>
    </row>
    <row r="3008" spans="1:29">
      <c r="A3008">
        <v>3001</v>
      </c>
      <c r="B3008">
        <v>896</v>
      </c>
      <c r="C3008" t="s">
        <v>3659</v>
      </c>
      <c r="D3008" t="s">
        <v>179</v>
      </c>
      <c r="E3008" t="s">
        <v>647</v>
      </c>
      <c r="F3008" t="s">
        <v>6305</v>
      </c>
      <c r="G3008" t="str">
        <f>"00531317"</f>
        <v>00531317</v>
      </c>
      <c r="H3008">
        <v>27.48</v>
      </c>
      <c r="I3008">
        <v>10</v>
      </c>
      <c r="M3008">
        <v>0</v>
      </c>
      <c r="N3008">
        <v>0</v>
      </c>
      <c r="O3008">
        <v>0</v>
      </c>
      <c r="P3008">
        <v>37.479999999999997</v>
      </c>
      <c r="Q3008">
        <v>0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0</v>
      </c>
      <c r="Y3008">
        <v>0</v>
      </c>
      <c r="Z3008">
        <v>0</v>
      </c>
      <c r="AA3008">
        <v>0</v>
      </c>
      <c r="AC3008">
        <v>37.479999999999997</v>
      </c>
    </row>
    <row r="3009" spans="1:29">
      <c r="A3009">
        <v>3002</v>
      </c>
      <c r="B3009">
        <v>3717</v>
      </c>
      <c r="C3009" t="s">
        <v>855</v>
      </c>
      <c r="D3009" t="s">
        <v>167</v>
      </c>
      <c r="E3009" t="s">
        <v>322</v>
      </c>
      <c r="F3009" t="s">
        <v>6306</v>
      </c>
      <c r="G3009" t="str">
        <f>"00531077"</f>
        <v>00531077</v>
      </c>
      <c r="H3009">
        <v>20.399999999999999</v>
      </c>
      <c r="I3009">
        <v>0</v>
      </c>
      <c r="M3009">
        <v>0</v>
      </c>
      <c r="N3009">
        <v>4</v>
      </c>
      <c r="O3009">
        <v>0</v>
      </c>
      <c r="P3009">
        <v>24.4</v>
      </c>
      <c r="Q3009">
        <v>7</v>
      </c>
      <c r="R3009">
        <v>7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7</v>
      </c>
      <c r="Z3009">
        <v>6</v>
      </c>
      <c r="AA3009">
        <v>0</v>
      </c>
      <c r="AC3009">
        <v>37.4</v>
      </c>
    </row>
    <row r="3010" spans="1:29">
      <c r="A3010">
        <v>3003</v>
      </c>
      <c r="B3010">
        <v>3068</v>
      </c>
      <c r="C3010" t="s">
        <v>6307</v>
      </c>
      <c r="D3010" t="s">
        <v>6308</v>
      </c>
      <c r="E3010" t="s">
        <v>18</v>
      </c>
      <c r="F3010" t="s">
        <v>6309</v>
      </c>
      <c r="G3010" t="str">
        <f>"00190062"</f>
        <v>00190062</v>
      </c>
      <c r="H3010">
        <v>30.4</v>
      </c>
      <c r="I3010">
        <v>0</v>
      </c>
      <c r="M3010">
        <v>0</v>
      </c>
      <c r="N3010">
        <v>4</v>
      </c>
      <c r="O3010">
        <v>0</v>
      </c>
      <c r="P3010">
        <v>34.4</v>
      </c>
      <c r="Q3010">
        <v>0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  <c r="Y3010">
        <v>0</v>
      </c>
      <c r="Z3010">
        <v>3</v>
      </c>
      <c r="AA3010">
        <v>0</v>
      </c>
      <c r="AC3010">
        <v>37.4</v>
      </c>
    </row>
    <row r="3011" spans="1:29">
      <c r="A3011">
        <v>3004</v>
      </c>
      <c r="B3011">
        <v>1561</v>
      </c>
      <c r="C3011" t="s">
        <v>6310</v>
      </c>
      <c r="D3011" t="s">
        <v>20</v>
      </c>
      <c r="E3011" t="s">
        <v>115</v>
      </c>
      <c r="F3011" t="s">
        <v>6311</v>
      </c>
      <c r="G3011" t="str">
        <f>"201511041716"</f>
        <v>201511041716</v>
      </c>
      <c r="H3011">
        <v>14.4</v>
      </c>
      <c r="I3011">
        <v>10</v>
      </c>
      <c r="M3011">
        <v>0</v>
      </c>
      <c r="N3011">
        <v>4</v>
      </c>
      <c r="O3011">
        <v>2</v>
      </c>
      <c r="P3011">
        <v>30.4</v>
      </c>
      <c r="Q3011">
        <v>7</v>
      </c>
      <c r="R3011">
        <v>7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0</v>
      </c>
      <c r="Y3011">
        <v>7</v>
      </c>
      <c r="Z3011">
        <v>0</v>
      </c>
      <c r="AA3011">
        <v>0</v>
      </c>
      <c r="AC3011">
        <v>37.4</v>
      </c>
    </row>
    <row r="3012" spans="1:29">
      <c r="A3012">
        <v>3005</v>
      </c>
      <c r="B3012">
        <v>1995</v>
      </c>
      <c r="C3012" t="s">
        <v>6312</v>
      </c>
      <c r="D3012" t="s">
        <v>130</v>
      </c>
      <c r="E3012" t="s">
        <v>15</v>
      </c>
      <c r="F3012" t="s">
        <v>6313</v>
      </c>
      <c r="G3012" t="str">
        <f>"00532519"</f>
        <v>00532519</v>
      </c>
      <c r="H3012">
        <v>12.28</v>
      </c>
      <c r="I3012">
        <v>0</v>
      </c>
      <c r="M3012">
        <v>0</v>
      </c>
      <c r="N3012">
        <v>4</v>
      </c>
      <c r="O3012">
        <v>2</v>
      </c>
      <c r="P3012">
        <v>18.28</v>
      </c>
      <c r="Q3012">
        <v>13</v>
      </c>
      <c r="R3012">
        <v>13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  <c r="Y3012">
        <v>13</v>
      </c>
      <c r="Z3012">
        <v>6</v>
      </c>
      <c r="AA3012">
        <v>0</v>
      </c>
      <c r="AC3012">
        <v>37.28</v>
      </c>
    </row>
    <row r="3013" spans="1:29">
      <c r="A3013">
        <v>3006</v>
      </c>
      <c r="B3013">
        <v>4688</v>
      </c>
      <c r="C3013" t="s">
        <v>6317</v>
      </c>
      <c r="D3013" t="s">
        <v>52</v>
      </c>
      <c r="E3013" t="s">
        <v>15</v>
      </c>
      <c r="F3013" t="s">
        <v>6318</v>
      </c>
      <c r="G3013" t="str">
        <f>"00860666"</f>
        <v>00860666</v>
      </c>
      <c r="H3013">
        <v>37.200000000000003</v>
      </c>
      <c r="I3013">
        <v>0</v>
      </c>
      <c r="M3013">
        <v>0</v>
      </c>
      <c r="N3013">
        <v>0</v>
      </c>
      <c r="O3013">
        <v>0</v>
      </c>
      <c r="P3013">
        <v>37.200000000000003</v>
      </c>
      <c r="Q3013">
        <v>0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0</v>
      </c>
      <c r="Y3013">
        <v>0</v>
      </c>
      <c r="Z3013">
        <v>0</v>
      </c>
      <c r="AA3013">
        <v>0</v>
      </c>
      <c r="AC3013">
        <v>37.200000000000003</v>
      </c>
    </row>
    <row r="3014" spans="1:29">
      <c r="A3014">
        <v>3007</v>
      </c>
      <c r="B3014">
        <v>1914</v>
      </c>
      <c r="C3014" t="s">
        <v>1228</v>
      </c>
      <c r="D3014" t="s">
        <v>86</v>
      </c>
      <c r="E3014" t="s">
        <v>18</v>
      </c>
      <c r="F3014" t="s">
        <v>6319</v>
      </c>
      <c r="G3014" t="str">
        <f>"00393531"</f>
        <v>00393531</v>
      </c>
      <c r="H3014">
        <v>37.200000000000003</v>
      </c>
      <c r="I3014">
        <v>0</v>
      </c>
      <c r="M3014">
        <v>0</v>
      </c>
      <c r="N3014">
        <v>0</v>
      </c>
      <c r="O3014">
        <v>0</v>
      </c>
      <c r="P3014">
        <v>37.200000000000003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  <c r="Y3014">
        <v>0</v>
      </c>
      <c r="Z3014">
        <v>0</v>
      </c>
      <c r="AA3014">
        <v>0</v>
      </c>
      <c r="AC3014">
        <v>37.200000000000003</v>
      </c>
    </row>
    <row r="3015" spans="1:29">
      <c r="A3015">
        <v>3008</v>
      </c>
      <c r="B3015">
        <v>4819</v>
      </c>
      <c r="C3015" t="s">
        <v>3481</v>
      </c>
      <c r="D3015" t="s">
        <v>1577</v>
      </c>
      <c r="E3015" t="s">
        <v>889</v>
      </c>
      <c r="F3015" t="s">
        <v>6314</v>
      </c>
      <c r="G3015" t="str">
        <f>"00297886"</f>
        <v>00297886</v>
      </c>
      <c r="H3015">
        <v>37.200000000000003</v>
      </c>
      <c r="I3015">
        <v>0</v>
      </c>
      <c r="M3015">
        <v>0</v>
      </c>
      <c r="N3015">
        <v>0</v>
      </c>
      <c r="O3015">
        <v>0</v>
      </c>
      <c r="P3015">
        <v>37.200000000000003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  <c r="Y3015">
        <v>0</v>
      </c>
      <c r="Z3015">
        <v>0</v>
      </c>
      <c r="AA3015">
        <v>0</v>
      </c>
      <c r="AC3015">
        <v>37.200000000000003</v>
      </c>
    </row>
    <row r="3016" spans="1:29">
      <c r="A3016">
        <v>3009</v>
      </c>
      <c r="B3016">
        <v>4226</v>
      </c>
      <c r="C3016" t="s">
        <v>6315</v>
      </c>
      <c r="D3016" t="s">
        <v>39</v>
      </c>
      <c r="E3016" t="s">
        <v>50</v>
      </c>
      <c r="F3016" t="s">
        <v>6316</v>
      </c>
      <c r="G3016" t="str">
        <f>"00859408"</f>
        <v>00859408</v>
      </c>
      <c r="H3016">
        <v>37.200000000000003</v>
      </c>
      <c r="I3016">
        <v>0</v>
      </c>
      <c r="M3016">
        <v>0</v>
      </c>
      <c r="N3016">
        <v>0</v>
      </c>
      <c r="O3016">
        <v>0</v>
      </c>
      <c r="P3016">
        <v>37.200000000000003</v>
      </c>
      <c r="Q3016">
        <v>0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  <c r="Y3016">
        <v>0</v>
      </c>
      <c r="Z3016">
        <v>0</v>
      </c>
      <c r="AA3016">
        <v>0</v>
      </c>
      <c r="AC3016">
        <v>37.200000000000003</v>
      </c>
    </row>
    <row r="3017" spans="1:29">
      <c r="A3017">
        <v>3010</v>
      </c>
      <c r="B3017">
        <v>1708</v>
      </c>
      <c r="C3017" t="s">
        <v>6320</v>
      </c>
      <c r="D3017" t="s">
        <v>159</v>
      </c>
      <c r="E3017" t="s">
        <v>3139</v>
      </c>
      <c r="F3017" t="s">
        <v>6321</v>
      </c>
      <c r="G3017" t="str">
        <f>"00723113"</f>
        <v>00723113</v>
      </c>
      <c r="H3017">
        <v>31.2</v>
      </c>
      <c r="I3017">
        <v>0</v>
      </c>
      <c r="M3017">
        <v>0</v>
      </c>
      <c r="N3017">
        <v>4</v>
      </c>
      <c r="O3017">
        <v>2</v>
      </c>
      <c r="P3017">
        <v>37.200000000000003</v>
      </c>
      <c r="Q3017">
        <v>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  <c r="Y3017">
        <v>0</v>
      </c>
      <c r="Z3017">
        <v>0</v>
      </c>
      <c r="AA3017">
        <v>0</v>
      </c>
      <c r="AC3017">
        <v>37.200000000000003</v>
      </c>
    </row>
    <row r="3018" spans="1:29">
      <c r="A3018">
        <v>3011</v>
      </c>
      <c r="B3018">
        <v>155</v>
      </c>
      <c r="C3018" t="s">
        <v>6322</v>
      </c>
      <c r="D3018" t="s">
        <v>20</v>
      </c>
      <c r="E3018" t="s">
        <v>369</v>
      </c>
      <c r="F3018" t="s">
        <v>6323</v>
      </c>
      <c r="G3018" t="str">
        <f>"00473591"</f>
        <v>00473591</v>
      </c>
      <c r="H3018">
        <v>27.2</v>
      </c>
      <c r="I3018">
        <v>0</v>
      </c>
      <c r="L3018">
        <v>4</v>
      </c>
      <c r="M3018">
        <v>4</v>
      </c>
      <c r="N3018">
        <v>4</v>
      </c>
      <c r="O3018">
        <v>2</v>
      </c>
      <c r="P3018">
        <v>37.200000000000003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0</v>
      </c>
      <c r="Z3018">
        <v>0</v>
      </c>
      <c r="AA3018">
        <v>0</v>
      </c>
      <c r="AC3018">
        <v>37.200000000000003</v>
      </c>
    </row>
    <row r="3019" spans="1:29">
      <c r="A3019">
        <v>3012</v>
      </c>
      <c r="B3019">
        <v>4287</v>
      </c>
      <c r="C3019" t="s">
        <v>6324</v>
      </c>
      <c r="D3019" t="s">
        <v>6325</v>
      </c>
      <c r="E3019" t="s">
        <v>115</v>
      </c>
      <c r="F3019" t="s">
        <v>6326</v>
      </c>
      <c r="G3019" t="str">
        <f>"201511026874"</f>
        <v>201511026874</v>
      </c>
      <c r="H3019">
        <v>8</v>
      </c>
      <c r="I3019">
        <v>10</v>
      </c>
      <c r="L3019">
        <v>4</v>
      </c>
      <c r="M3019">
        <v>4</v>
      </c>
      <c r="N3019">
        <v>4</v>
      </c>
      <c r="O3019">
        <v>0</v>
      </c>
      <c r="P3019">
        <v>26</v>
      </c>
      <c r="Q3019">
        <v>5</v>
      </c>
      <c r="R3019">
        <v>5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  <c r="Y3019">
        <v>5</v>
      </c>
      <c r="Z3019">
        <v>6</v>
      </c>
      <c r="AA3019">
        <v>0</v>
      </c>
      <c r="AC3019">
        <v>37</v>
      </c>
    </row>
    <row r="3020" spans="1:29">
      <c r="A3020">
        <v>3013</v>
      </c>
      <c r="B3020">
        <v>2622</v>
      </c>
      <c r="C3020" t="s">
        <v>2466</v>
      </c>
      <c r="D3020" t="s">
        <v>159</v>
      </c>
      <c r="E3020" t="s">
        <v>66</v>
      </c>
      <c r="F3020" t="s">
        <v>6327</v>
      </c>
      <c r="G3020" t="str">
        <f>"00806268"</f>
        <v>00806268</v>
      </c>
      <c r="H3020">
        <v>26.84</v>
      </c>
      <c r="I3020">
        <v>0</v>
      </c>
      <c r="M3020">
        <v>0</v>
      </c>
      <c r="N3020">
        <v>4</v>
      </c>
      <c r="O3020">
        <v>0</v>
      </c>
      <c r="P3020">
        <v>30.84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  <c r="Y3020">
        <v>0</v>
      </c>
      <c r="Z3020">
        <v>6</v>
      </c>
      <c r="AA3020">
        <v>0</v>
      </c>
      <c r="AC3020">
        <v>36.840000000000003</v>
      </c>
    </row>
    <row r="3021" spans="1:29">
      <c r="A3021">
        <v>3014</v>
      </c>
      <c r="B3021">
        <v>4746</v>
      </c>
      <c r="C3021" t="s">
        <v>6328</v>
      </c>
      <c r="D3021" t="s">
        <v>6329</v>
      </c>
      <c r="E3021" t="s">
        <v>66</v>
      </c>
      <c r="F3021" t="s">
        <v>6330</v>
      </c>
      <c r="G3021" t="str">
        <f>"00473416"</f>
        <v>00473416</v>
      </c>
      <c r="H3021">
        <v>28.8</v>
      </c>
      <c r="I3021">
        <v>0</v>
      </c>
      <c r="M3021">
        <v>0</v>
      </c>
      <c r="N3021">
        <v>0</v>
      </c>
      <c r="O3021">
        <v>2</v>
      </c>
      <c r="P3021">
        <v>30.8</v>
      </c>
      <c r="Q3021">
        <v>0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0</v>
      </c>
      <c r="Z3021">
        <v>6</v>
      </c>
      <c r="AA3021">
        <v>0</v>
      </c>
      <c r="AC3021">
        <v>36.799999999999997</v>
      </c>
    </row>
    <row r="3022" spans="1:29">
      <c r="A3022">
        <v>3015</v>
      </c>
      <c r="B3022">
        <v>2969</v>
      </c>
      <c r="C3022" t="s">
        <v>6331</v>
      </c>
      <c r="D3022" t="s">
        <v>39</v>
      </c>
      <c r="E3022" t="s">
        <v>889</v>
      </c>
      <c r="F3022" t="s">
        <v>6332</v>
      </c>
      <c r="G3022" t="str">
        <f>"00864437"</f>
        <v>00864437</v>
      </c>
      <c r="H3022">
        <v>28.8</v>
      </c>
      <c r="I3022">
        <v>0</v>
      </c>
      <c r="M3022">
        <v>0</v>
      </c>
      <c r="N3022">
        <v>0</v>
      </c>
      <c r="O3022">
        <v>2</v>
      </c>
      <c r="P3022">
        <v>30.8</v>
      </c>
      <c r="Q3022">
        <v>0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0</v>
      </c>
      <c r="Z3022">
        <v>6</v>
      </c>
      <c r="AA3022">
        <v>0</v>
      </c>
      <c r="AC3022">
        <v>36.799999999999997</v>
      </c>
    </row>
    <row r="3023" spans="1:29">
      <c r="A3023">
        <v>3016</v>
      </c>
      <c r="B3023">
        <v>3269</v>
      </c>
      <c r="C3023" t="s">
        <v>3663</v>
      </c>
      <c r="D3023" t="s">
        <v>164</v>
      </c>
      <c r="E3023" t="s">
        <v>15</v>
      </c>
      <c r="F3023" t="s">
        <v>6333</v>
      </c>
      <c r="G3023" t="str">
        <f>"00861087"</f>
        <v>00861087</v>
      </c>
      <c r="H3023">
        <v>36.799999999999997</v>
      </c>
      <c r="I3023">
        <v>0</v>
      </c>
      <c r="M3023">
        <v>0</v>
      </c>
      <c r="N3023">
        <v>0</v>
      </c>
      <c r="O3023">
        <v>0</v>
      </c>
      <c r="P3023">
        <v>36.799999999999997</v>
      </c>
      <c r="Q3023">
        <v>0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0</v>
      </c>
      <c r="Z3023">
        <v>0</v>
      </c>
      <c r="AA3023">
        <v>0</v>
      </c>
      <c r="AC3023">
        <v>36.799999999999997</v>
      </c>
    </row>
    <row r="3024" spans="1:29">
      <c r="A3024">
        <v>3017</v>
      </c>
      <c r="B3024">
        <v>4213</v>
      </c>
      <c r="C3024" t="s">
        <v>6334</v>
      </c>
      <c r="D3024" t="s">
        <v>141</v>
      </c>
      <c r="E3024" t="s">
        <v>18</v>
      </c>
      <c r="F3024" t="s">
        <v>6335</v>
      </c>
      <c r="G3024" t="str">
        <f>"00188593"</f>
        <v>00188593</v>
      </c>
      <c r="H3024">
        <v>28.8</v>
      </c>
      <c r="I3024">
        <v>0</v>
      </c>
      <c r="L3024">
        <v>4</v>
      </c>
      <c r="M3024">
        <v>4</v>
      </c>
      <c r="N3024">
        <v>4</v>
      </c>
      <c r="O3024">
        <v>0</v>
      </c>
      <c r="P3024">
        <v>36.799999999999997</v>
      </c>
      <c r="Q3024">
        <v>0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  <c r="Y3024">
        <v>0</v>
      </c>
      <c r="Z3024">
        <v>0</v>
      </c>
      <c r="AA3024">
        <v>0</v>
      </c>
      <c r="AC3024">
        <v>36.799999999999997</v>
      </c>
    </row>
    <row r="3025" spans="1:29">
      <c r="A3025">
        <v>3018</v>
      </c>
      <c r="B3025">
        <v>4736</v>
      </c>
      <c r="C3025" t="s">
        <v>6342</v>
      </c>
      <c r="D3025" t="s">
        <v>130</v>
      </c>
      <c r="E3025" t="s">
        <v>15</v>
      </c>
      <c r="F3025" t="s">
        <v>6343</v>
      </c>
      <c r="G3025" t="str">
        <f>"00866387"</f>
        <v>00866387</v>
      </c>
      <c r="H3025">
        <v>28.8</v>
      </c>
      <c r="I3025">
        <v>0</v>
      </c>
      <c r="L3025">
        <v>4</v>
      </c>
      <c r="M3025">
        <v>4</v>
      </c>
      <c r="N3025">
        <v>4</v>
      </c>
      <c r="O3025">
        <v>0</v>
      </c>
      <c r="P3025">
        <v>36.799999999999997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  <c r="Y3025">
        <v>0</v>
      </c>
      <c r="Z3025">
        <v>0</v>
      </c>
      <c r="AA3025">
        <v>0</v>
      </c>
      <c r="AC3025">
        <v>36.799999999999997</v>
      </c>
    </row>
    <row r="3026" spans="1:29">
      <c r="A3026">
        <v>3019</v>
      </c>
      <c r="B3026">
        <v>2312</v>
      </c>
      <c r="C3026" t="s">
        <v>3385</v>
      </c>
      <c r="D3026" t="s">
        <v>159</v>
      </c>
      <c r="E3026" t="s">
        <v>3522</v>
      </c>
      <c r="F3026" t="s">
        <v>6349</v>
      </c>
      <c r="G3026" t="str">
        <f>"00113775"</f>
        <v>00113775</v>
      </c>
      <c r="H3026">
        <v>28.8</v>
      </c>
      <c r="I3026">
        <v>0</v>
      </c>
      <c r="L3026">
        <v>4</v>
      </c>
      <c r="M3026">
        <v>4</v>
      </c>
      <c r="N3026">
        <v>4</v>
      </c>
      <c r="O3026">
        <v>0</v>
      </c>
      <c r="P3026">
        <v>36.799999999999997</v>
      </c>
      <c r="Q3026">
        <v>0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  <c r="Y3026">
        <v>0</v>
      </c>
      <c r="Z3026">
        <v>0</v>
      </c>
      <c r="AA3026">
        <v>0</v>
      </c>
      <c r="AC3026">
        <v>36.799999999999997</v>
      </c>
    </row>
    <row r="3027" spans="1:29">
      <c r="A3027">
        <v>3020</v>
      </c>
      <c r="B3027">
        <v>4334</v>
      </c>
      <c r="C3027" t="s">
        <v>5044</v>
      </c>
      <c r="D3027" t="s">
        <v>784</v>
      </c>
      <c r="E3027" t="s">
        <v>32</v>
      </c>
      <c r="F3027" t="s">
        <v>6354</v>
      </c>
      <c r="G3027" t="str">
        <f>"00795917"</f>
        <v>00795917</v>
      </c>
      <c r="H3027">
        <v>28.8</v>
      </c>
      <c r="I3027">
        <v>0</v>
      </c>
      <c r="L3027">
        <v>4</v>
      </c>
      <c r="M3027">
        <v>4</v>
      </c>
      <c r="N3027">
        <v>4</v>
      </c>
      <c r="O3027">
        <v>0</v>
      </c>
      <c r="P3027">
        <v>36.799999999999997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0</v>
      </c>
      <c r="Z3027">
        <v>0</v>
      </c>
      <c r="AA3027">
        <v>0</v>
      </c>
      <c r="AC3027">
        <v>36.799999999999997</v>
      </c>
    </row>
    <row r="3028" spans="1:29">
      <c r="A3028">
        <v>3021</v>
      </c>
      <c r="B3028">
        <v>4235</v>
      </c>
      <c r="C3028" t="s">
        <v>6340</v>
      </c>
      <c r="D3028" t="s">
        <v>185</v>
      </c>
      <c r="E3028" t="s">
        <v>15</v>
      </c>
      <c r="F3028" t="s">
        <v>6341</v>
      </c>
      <c r="G3028" t="str">
        <f>"00864679"</f>
        <v>00864679</v>
      </c>
      <c r="H3028">
        <v>28.8</v>
      </c>
      <c r="I3028">
        <v>0</v>
      </c>
      <c r="L3028">
        <v>4</v>
      </c>
      <c r="M3028">
        <v>4</v>
      </c>
      <c r="N3028">
        <v>4</v>
      </c>
      <c r="O3028">
        <v>0</v>
      </c>
      <c r="P3028">
        <v>36.799999999999997</v>
      </c>
      <c r="Q3028">
        <v>0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0</v>
      </c>
      <c r="Z3028">
        <v>0</v>
      </c>
      <c r="AA3028">
        <v>0</v>
      </c>
      <c r="AC3028">
        <v>36.799999999999997</v>
      </c>
    </row>
    <row r="3029" spans="1:29">
      <c r="A3029">
        <v>3022</v>
      </c>
      <c r="B3029">
        <v>3278</v>
      </c>
      <c r="C3029" t="s">
        <v>6347</v>
      </c>
      <c r="D3029" t="s">
        <v>465</v>
      </c>
      <c r="E3029" t="s">
        <v>15</v>
      </c>
      <c r="F3029" t="s">
        <v>6348</v>
      </c>
      <c r="G3029" t="str">
        <f>"00858973"</f>
        <v>00858973</v>
      </c>
      <c r="H3029">
        <v>28.8</v>
      </c>
      <c r="I3029">
        <v>0</v>
      </c>
      <c r="J3029">
        <v>8</v>
      </c>
      <c r="M3029">
        <v>8</v>
      </c>
      <c r="N3029">
        <v>0</v>
      </c>
      <c r="O3029">
        <v>0</v>
      </c>
      <c r="P3029">
        <v>36.799999999999997</v>
      </c>
      <c r="Q3029">
        <v>0</v>
      </c>
      <c r="R3029">
        <v>0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0</v>
      </c>
      <c r="Y3029">
        <v>0</v>
      </c>
      <c r="Z3029">
        <v>0</v>
      </c>
      <c r="AA3029">
        <v>0</v>
      </c>
      <c r="AC3029">
        <v>36.799999999999997</v>
      </c>
    </row>
    <row r="3030" spans="1:29">
      <c r="A3030">
        <v>3023</v>
      </c>
      <c r="B3030">
        <v>1042</v>
      </c>
      <c r="C3030" t="s">
        <v>6352</v>
      </c>
      <c r="D3030" t="s">
        <v>39</v>
      </c>
      <c r="E3030" t="s">
        <v>1263</v>
      </c>
      <c r="F3030" t="s">
        <v>6353</v>
      </c>
      <c r="G3030" t="str">
        <f>"00527498"</f>
        <v>00527498</v>
      </c>
      <c r="H3030">
        <v>28.8</v>
      </c>
      <c r="I3030">
        <v>0</v>
      </c>
      <c r="L3030">
        <v>4</v>
      </c>
      <c r="M3030">
        <v>4</v>
      </c>
      <c r="N3030">
        <v>4</v>
      </c>
      <c r="O3030">
        <v>0</v>
      </c>
      <c r="P3030">
        <v>36.799999999999997</v>
      </c>
      <c r="Q3030">
        <v>0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  <c r="Y3030">
        <v>0</v>
      </c>
      <c r="Z3030">
        <v>0</v>
      </c>
      <c r="AA3030">
        <v>0</v>
      </c>
      <c r="AC3030">
        <v>36.799999999999997</v>
      </c>
    </row>
    <row r="3031" spans="1:29">
      <c r="A3031">
        <v>3024</v>
      </c>
      <c r="B3031">
        <v>4879</v>
      </c>
      <c r="C3031" t="s">
        <v>6336</v>
      </c>
      <c r="D3031" t="s">
        <v>6337</v>
      </c>
      <c r="E3031" t="s">
        <v>6338</v>
      </c>
      <c r="F3031" t="s">
        <v>6339</v>
      </c>
      <c r="G3031" t="str">
        <f>"00190979"</f>
        <v>00190979</v>
      </c>
      <c r="H3031">
        <v>28.8</v>
      </c>
      <c r="I3031">
        <v>0</v>
      </c>
      <c r="L3031">
        <v>4</v>
      </c>
      <c r="M3031">
        <v>4</v>
      </c>
      <c r="N3031">
        <v>4</v>
      </c>
      <c r="O3031">
        <v>0</v>
      </c>
      <c r="P3031">
        <v>36.799999999999997</v>
      </c>
      <c r="Q3031">
        <v>0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0</v>
      </c>
      <c r="Z3031">
        <v>0</v>
      </c>
      <c r="AA3031">
        <v>0</v>
      </c>
      <c r="AC3031">
        <v>36.799999999999997</v>
      </c>
    </row>
    <row r="3032" spans="1:29">
      <c r="A3032">
        <v>3025</v>
      </c>
      <c r="B3032">
        <v>4964</v>
      </c>
      <c r="C3032" t="s">
        <v>6350</v>
      </c>
      <c r="D3032" t="s">
        <v>930</v>
      </c>
      <c r="E3032" t="s">
        <v>227</v>
      </c>
      <c r="F3032" t="s">
        <v>6351</v>
      </c>
      <c r="G3032" t="str">
        <f>"00860026"</f>
        <v>00860026</v>
      </c>
      <c r="H3032">
        <v>28.8</v>
      </c>
      <c r="I3032">
        <v>0</v>
      </c>
      <c r="L3032">
        <v>4</v>
      </c>
      <c r="M3032">
        <v>4</v>
      </c>
      <c r="N3032">
        <v>4</v>
      </c>
      <c r="O3032">
        <v>0</v>
      </c>
      <c r="P3032">
        <v>36.799999999999997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  <c r="Y3032">
        <v>0</v>
      </c>
      <c r="Z3032">
        <v>0</v>
      </c>
      <c r="AA3032">
        <v>0</v>
      </c>
      <c r="AC3032">
        <v>36.799999999999997</v>
      </c>
    </row>
    <row r="3033" spans="1:29">
      <c r="A3033">
        <v>3026</v>
      </c>
      <c r="B3033">
        <v>3317</v>
      </c>
      <c r="C3033" t="s">
        <v>6344</v>
      </c>
      <c r="D3033" t="s">
        <v>1187</v>
      </c>
      <c r="E3033" t="s">
        <v>6345</v>
      </c>
      <c r="F3033" t="s">
        <v>6346</v>
      </c>
      <c r="G3033" t="str">
        <f>"00810390"</f>
        <v>00810390</v>
      </c>
      <c r="H3033">
        <v>28.8</v>
      </c>
      <c r="I3033">
        <v>0</v>
      </c>
      <c r="L3033">
        <v>4</v>
      </c>
      <c r="M3033">
        <v>4</v>
      </c>
      <c r="N3033">
        <v>4</v>
      </c>
      <c r="O3033">
        <v>0</v>
      </c>
      <c r="P3033">
        <v>36.799999999999997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  <c r="Y3033">
        <v>0</v>
      </c>
      <c r="Z3033">
        <v>0</v>
      </c>
      <c r="AA3033">
        <v>0</v>
      </c>
      <c r="AC3033">
        <v>36.799999999999997</v>
      </c>
    </row>
    <row r="3034" spans="1:29">
      <c r="A3034">
        <v>3027</v>
      </c>
      <c r="B3034">
        <v>3450</v>
      </c>
      <c r="C3034" t="s">
        <v>490</v>
      </c>
      <c r="D3034" t="s">
        <v>1275</v>
      </c>
      <c r="E3034" t="s">
        <v>79</v>
      </c>
      <c r="F3034" t="s">
        <v>6355</v>
      </c>
      <c r="G3034" t="str">
        <f>"00862102"</f>
        <v>00862102</v>
      </c>
      <c r="H3034">
        <v>30.76</v>
      </c>
      <c r="I3034">
        <v>0</v>
      </c>
      <c r="M3034">
        <v>0</v>
      </c>
      <c r="N3034">
        <v>0</v>
      </c>
      <c r="O3034">
        <v>0</v>
      </c>
      <c r="P3034">
        <v>30.76</v>
      </c>
      <c r="Q3034">
        <v>0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0</v>
      </c>
      <c r="Z3034">
        <v>6</v>
      </c>
      <c r="AA3034">
        <v>0</v>
      </c>
      <c r="AC3034">
        <v>36.76</v>
      </c>
    </row>
    <row r="3035" spans="1:29">
      <c r="A3035">
        <v>3028</v>
      </c>
      <c r="B3035">
        <v>4504</v>
      </c>
      <c r="C3035" t="s">
        <v>6356</v>
      </c>
      <c r="D3035" t="s">
        <v>49</v>
      </c>
      <c r="E3035" t="s">
        <v>227</v>
      </c>
      <c r="F3035" t="s">
        <v>6357</v>
      </c>
      <c r="G3035" t="str">
        <f>"00858654"</f>
        <v>00858654</v>
      </c>
      <c r="H3035">
        <v>27.64</v>
      </c>
      <c r="I3035">
        <v>0</v>
      </c>
      <c r="M3035">
        <v>0</v>
      </c>
      <c r="N3035">
        <v>0</v>
      </c>
      <c r="O3035">
        <v>0</v>
      </c>
      <c r="P3035">
        <v>27.64</v>
      </c>
      <c r="Q3035">
        <v>9</v>
      </c>
      <c r="R3035">
        <v>9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0</v>
      </c>
      <c r="Y3035">
        <v>9</v>
      </c>
      <c r="Z3035">
        <v>0</v>
      </c>
      <c r="AA3035">
        <v>0</v>
      </c>
      <c r="AC3035">
        <v>36.64</v>
      </c>
    </row>
    <row r="3036" spans="1:29">
      <c r="A3036">
        <v>3029</v>
      </c>
      <c r="B3036">
        <v>2321</v>
      </c>
      <c r="C3036" t="s">
        <v>72</v>
      </c>
      <c r="D3036" t="s">
        <v>108</v>
      </c>
      <c r="E3036" t="s">
        <v>237</v>
      </c>
      <c r="F3036" t="s">
        <v>6358</v>
      </c>
      <c r="G3036" t="str">
        <f>"00860539"</f>
        <v>00860539</v>
      </c>
      <c r="H3036">
        <v>21.6</v>
      </c>
      <c r="I3036">
        <v>0</v>
      </c>
      <c r="K3036">
        <v>6</v>
      </c>
      <c r="M3036">
        <v>6</v>
      </c>
      <c r="N3036">
        <v>0</v>
      </c>
      <c r="O3036">
        <v>0</v>
      </c>
      <c r="P3036">
        <v>27.6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  <c r="Y3036">
        <v>0</v>
      </c>
      <c r="Z3036">
        <v>9</v>
      </c>
      <c r="AA3036">
        <v>0</v>
      </c>
      <c r="AC3036">
        <v>36.6</v>
      </c>
    </row>
    <row r="3037" spans="1:29">
      <c r="A3037">
        <v>3030</v>
      </c>
      <c r="B3037">
        <v>1425</v>
      </c>
      <c r="C3037" t="s">
        <v>6359</v>
      </c>
      <c r="D3037" t="s">
        <v>276</v>
      </c>
      <c r="E3037" t="s">
        <v>36</v>
      </c>
      <c r="F3037" t="s">
        <v>6360</v>
      </c>
      <c r="G3037" t="str">
        <f>"00190244"</f>
        <v>00190244</v>
      </c>
      <c r="H3037">
        <v>21.6</v>
      </c>
      <c r="I3037">
        <v>0</v>
      </c>
      <c r="L3037">
        <v>4</v>
      </c>
      <c r="M3037">
        <v>4</v>
      </c>
      <c r="N3037">
        <v>4</v>
      </c>
      <c r="O3037">
        <v>2</v>
      </c>
      <c r="P3037">
        <v>31.6</v>
      </c>
      <c r="Q3037">
        <v>5</v>
      </c>
      <c r="R3037">
        <v>5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  <c r="Y3037">
        <v>5</v>
      </c>
      <c r="Z3037">
        <v>0</v>
      </c>
      <c r="AA3037">
        <v>0</v>
      </c>
      <c r="AC3037">
        <v>36.6</v>
      </c>
    </row>
    <row r="3038" spans="1:29">
      <c r="A3038">
        <v>3031</v>
      </c>
      <c r="B3038">
        <v>2454</v>
      </c>
      <c r="C3038" t="s">
        <v>1662</v>
      </c>
      <c r="D3038" t="s">
        <v>6361</v>
      </c>
      <c r="E3038" t="s">
        <v>322</v>
      </c>
      <c r="F3038" t="s">
        <v>6362</v>
      </c>
      <c r="G3038" t="str">
        <f>"00533846"</f>
        <v>00533846</v>
      </c>
      <c r="H3038">
        <v>21.6</v>
      </c>
      <c r="I3038">
        <v>0</v>
      </c>
      <c r="L3038">
        <v>4</v>
      </c>
      <c r="M3038">
        <v>4</v>
      </c>
      <c r="N3038">
        <v>4</v>
      </c>
      <c r="O3038">
        <v>0</v>
      </c>
      <c r="P3038">
        <v>29.6</v>
      </c>
      <c r="Q3038">
        <v>7</v>
      </c>
      <c r="R3038">
        <v>7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  <c r="Y3038">
        <v>7</v>
      </c>
      <c r="Z3038">
        <v>0</v>
      </c>
      <c r="AA3038">
        <v>0</v>
      </c>
      <c r="AC3038">
        <v>36.6</v>
      </c>
    </row>
    <row r="3039" spans="1:29">
      <c r="A3039">
        <v>3032</v>
      </c>
      <c r="B3039">
        <v>2541</v>
      </c>
      <c r="C3039" t="s">
        <v>2767</v>
      </c>
      <c r="D3039" t="s">
        <v>544</v>
      </c>
      <c r="E3039" t="s">
        <v>15</v>
      </c>
      <c r="F3039" t="s">
        <v>6363</v>
      </c>
      <c r="G3039" t="str">
        <f>"00477395"</f>
        <v>00477395</v>
      </c>
      <c r="H3039">
        <v>21.6</v>
      </c>
      <c r="I3039">
        <v>0</v>
      </c>
      <c r="M3039">
        <v>0</v>
      </c>
      <c r="N3039">
        <v>4</v>
      </c>
      <c r="O3039">
        <v>2</v>
      </c>
      <c r="P3039">
        <v>27.6</v>
      </c>
      <c r="Q3039">
        <v>9</v>
      </c>
      <c r="R3039">
        <v>9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9</v>
      </c>
      <c r="Z3039">
        <v>0</v>
      </c>
      <c r="AA3039">
        <v>0</v>
      </c>
      <c r="AC3039">
        <v>36.6</v>
      </c>
    </row>
    <row r="3040" spans="1:29">
      <c r="A3040">
        <v>3033</v>
      </c>
      <c r="B3040">
        <v>807</v>
      </c>
      <c r="C3040" t="s">
        <v>6364</v>
      </c>
      <c r="D3040" t="s">
        <v>86</v>
      </c>
      <c r="E3040" t="s">
        <v>18</v>
      </c>
      <c r="F3040" t="s">
        <v>6365</v>
      </c>
      <c r="G3040" t="str">
        <f>"00557318"</f>
        <v>00557318</v>
      </c>
      <c r="H3040">
        <v>16.559999999999999</v>
      </c>
      <c r="I3040">
        <v>10</v>
      </c>
      <c r="M3040">
        <v>0</v>
      </c>
      <c r="N3040">
        <v>4</v>
      </c>
      <c r="O3040">
        <v>0</v>
      </c>
      <c r="P3040">
        <v>30.56</v>
      </c>
      <c r="Q3040">
        <v>0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  <c r="Y3040">
        <v>0</v>
      </c>
      <c r="Z3040">
        <v>6</v>
      </c>
      <c r="AA3040">
        <v>0</v>
      </c>
      <c r="AC3040">
        <v>36.56</v>
      </c>
    </row>
    <row r="3041" spans="1:29">
      <c r="A3041">
        <v>3034</v>
      </c>
      <c r="B3041">
        <v>2059</v>
      </c>
      <c r="C3041" t="s">
        <v>1286</v>
      </c>
      <c r="D3041" t="s">
        <v>98</v>
      </c>
      <c r="E3041" t="s">
        <v>1813</v>
      </c>
      <c r="F3041" t="s">
        <v>6366</v>
      </c>
      <c r="G3041" t="str">
        <f>"00710723"</f>
        <v>00710723</v>
      </c>
      <c r="H3041">
        <v>23.48</v>
      </c>
      <c r="I3041">
        <v>0</v>
      </c>
      <c r="M3041">
        <v>0</v>
      </c>
      <c r="N3041">
        <v>4</v>
      </c>
      <c r="O3041">
        <v>0</v>
      </c>
      <c r="P3041">
        <v>27.48</v>
      </c>
      <c r="Q3041">
        <v>0</v>
      </c>
      <c r="R3041">
        <v>0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0</v>
      </c>
      <c r="Y3041">
        <v>0</v>
      </c>
      <c r="Z3041">
        <v>9</v>
      </c>
      <c r="AA3041">
        <v>0</v>
      </c>
      <c r="AC3041">
        <v>36.479999999999997</v>
      </c>
    </row>
    <row r="3042" spans="1:29">
      <c r="A3042">
        <v>3035</v>
      </c>
      <c r="B3042">
        <v>4560</v>
      </c>
      <c r="C3042" t="s">
        <v>927</v>
      </c>
      <c r="D3042" t="s">
        <v>784</v>
      </c>
      <c r="E3042" t="s">
        <v>644</v>
      </c>
      <c r="F3042" t="s">
        <v>6367</v>
      </c>
      <c r="G3042" t="str">
        <f>"00866636"</f>
        <v>00866636</v>
      </c>
      <c r="H3042">
        <v>32.44</v>
      </c>
      <c r="I3042">
        <v>0</v>
      </c>
      <c r="M3042">
        <v>0</v>
      </c>
      <c r="N3042">
        <v>4</v>
      </c>
      <c r="O3042">
        <v>0</v>
      </c>
      <c r="P3042">
        <v>36.44</v>
      </c>
      <c r="Q3042">
        <v>0</v>
      </c>
      <c r="R3042">
        <v>0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  <c r="Y3042">
        <v>0</v>
      </c>
      <c r="Z3042">
        <v>0</v>
      </c>
      <c r="AA3042">
        <v>0</v>
      </c>
      <c r="AC3042">
        <v>36.44</v>
      </c>
    </row>
    <row r="3043" spans="1:29">
      <c r="A3043">
        <v>3036</v>
      </c>
      <c r="B3043">
        <v>3362</v>
      </c>
      <c r="C3043" t="s">
        <v>6368</v>
      </c>
      <c r="D3043" t="s">
        <v>98</v>
      </c>
      <c r="E3043" t="s">
        <v>18</v>
      </c>
      <c r="F3043" t="s">
        <v>6369</v>
      </c>
      <c r="G3043" t="str">
        <f>"00860018"</f>
        <v>00860018</v>
      </c>
      <c r="H3043">
        <v>27.4</v>
      </c>
      <c r="I3043">
        <v>0</v>
      </c>
      <c r="M3043">
        <v>0</v>
      </c>
      <c r="N3043">
        <v>0</v>
      </c>
      <c r="O3043">
        <v>0</v>
      </c>
      <c r="P3043">
        <v>27.4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  <c r="Y3043">
        <v>0</v>
      </c>
      <c r="Z3043">
        <v>9</v>
      </c>
      <c r="AA3043">
        <v>0</v>
      </c>
      <c r="AC3043">
        <v>36.4</v>
      </c>
    </row>
    <row r="3044" spans="1:29">
      <c r="A3044">
        <v>3037</v>
      </c>
      <c r="B3044">
        <v>418</v>
      </c>
      <c r="C3044" t="s">
        <v>1248</v>
      </c>
      <c r="D3044" t="s">
        <v>1660</v>
      </c>
      <c r="E3044" t="s">
        <v>134</v>
      </c>
      <c r="F3044" t="s">
        <v>6370</v>
      </c>
      <c r="G3044" t="str">
        <f>"200802004444"</f>
        <v>200802004444</v>
      </c>
      <c r="H3044">
        <v>14.4</v>
      </c>
      <c r="I3044">
        <v>10</v>
      </c>
      <c r="J3044">
        <v>8</v>
      </c>
      <c r="M3044">
        <v>8</v>
      </c>
      <c r="N3044">
        <v>4</v>
      </c>
      <c r="O3044">
        <v>0</v>
      </c>
      <c r="P3044">
        <v>36.4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  <c r="Y3044">
        <v>0</v>
      </c>
      <c r="Z3044">
        <v>0</v>
      </c>
      <c r="AA3044">
        <v>0</v>
      </c>
      <c r="AC3044">
        <v>36.4</v>
      </c>
    </row>
    <row r="3045" spans="1:29">
      <c r="A3045">
        <v>3038</v>
      </c>
      <c r="B3045">
        <v>1011</v>
      </c>
      <c r="C3045" t="s">
        <v>3190</v>
      </c>
      <c r="D3045" t="s">
        <v>279</v>
      </c>
      <c r="E3045" t="s">
        <v>66</v>
      </c>
      <c r="F3045" t="s">
        <v>6371</v>
      </c>
      <c r="G3045" t="str">
        <f>"00530140"</f>
        <v>00530140</v>
      </c>
      <c r="H3045">
        <v>20.399999999999999</v>
      </c>
      <c r="I3045">
        <v>0</v>
      </c>
      <c r="M3045">
        <v>0</v>
      </c>
      <c r="N3045">
        <v>0</v>
      </c>
      <c r="O3045">
        <v>0</v>
      </c>
      <c r="P3045">
        <v>20.399999999999999</v>
      </c>
      <c r="Q3045">
        <v>16</v>
      </c>
      <c r="R3045">
        <v>16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  <c r="Y3045">
        <v>16</v>
      </c>
      <c r="Z3045">
        <v>0</v>
      </c>
      <c r="AA3045">
        <v>0</v>
      </c>
      <c r="AC3045">
        <v>36.4</v>
      </c>
    </row>
    <row r="3046" spans="1:29">
      <c r="A3046">
        <v>3039</v>
      </c>
      <c r="B3046">
        <v>1861</v>
      </c>
      <c r="C3046" t="s">
        <v>6372</v>
      </c>
      <c r="D3046" t="s">
        <v>130</v>
      </c>
      <c r="E3046" t="s">
        <v>156</v>
      </c>
      <c r="F3046" t="s">
        <v>6373</v>
      </c>
      <c r="G3046" t="str">
        <f>"201511032183"</f>
        <v>201511032183</v>
      </c>
      <c r="H3046">
        <v>32.36</v>
      </c>
      <c r="I3046">
        <v>0</v>
      </c>
      <c r="M3046">
        <v>0</v>
      </c>
      <c r="N3046">
        <v>4</v>
      </c>
      <c r="O3046">
        <v>0</v>
      </c>
      <c r="P3046">
        <v>36.36</v>
      </c>
      <c r="Q3046">
        <v>0</v>
      </c>
      <c r="R3046">
        <v>0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  <c r="Y3046">
        <v>0</v>
      </c>
      <c r="Z3046">
        <v>0</v>
      </c>
      <c r="AA3046">
        <v>0</v>
      </c>
      <c r="AC3046">
        <v>36.36</v>
      </c>
    </row>
    <row r="3047" spans="1:29">
      <c r="A3047">
        <v>3040</v>
      </c>
      <c r="B3047">
        <v>957</v>
      </c>
      <c r="C3047" t="s">
        <v>2872</v>
      </c>
      <c r="D3047" t="s">
        <v>175</v>
      </c>
      <c r="E3047" t="s">
        <v>621</v>
      </c>
      <c r="F3047" t="s">
        <v>6374</v>
      </c>
      <c r="G3047" t="str">
        <f>"00857971"</f>
        <v>00857971</v>
      </c>
      <c r="H3047">
        <v>32.32</v>
      </c>
      <c r="I3047">
        <v>0</v>
      </c>
      <c r="M3047">
        <v>0</v>
      </c>
      <c r="N3047">
        <v>4</v>
      </c>
      <c r="O3047">
        <v>0</v>
      </c>
      <c r="P3047">
        <v>36.32</v>
      </c>
      <c r="Q3047">
        <v>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  <c r="Y3047">
        <v>0</v>
      </c>
      <c r="Z3047">
        <v>0</v>
      </c>
      <c r="AA3047">
        <v>0</v>
      </c>
      <c r="AC3047">
        <v>36.32</v>
      </c>
    </row>
    <row r="3048" spans="1:29">
      <c r="A3048">
        <v>3041</v>
      </c>
      <c r="B3048">
        <v>1924</v>
      </c>
      <c r="C3048" t="s">
        <v>6375</v>
      </c>
      <c r="D3048" t="s">
        <v>20</v>
      </c>
      <c r="E3048" t="s">
        <v>227</v>
      </c>
      <c r="F3048" t="s">
        <v>6376</v>
      </c>
      <c r="G3048" t="str">
        <f>"00162589"</f>
        <v>00162589</v>
      </c>
      <c r="H3048">
        <v>22.28</v>
      </c>
      <c r="I3048">
        <v>0</v>
      </c>
      <c r="J3048">
        <v>8</v>
      </c>
      <c r="M3048">
        <v>8</v>
      </c>
      <c r="N3048">
        <v>4</v>
      </c>
      <c r="O3048">
        <v>2</v>
      </c>
      <c r="P3048">
        <v>36.28</v>
      </c>
      <c r="Q3048">
        <v>0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0</v>
      </c>
      <c r="Y3048">
        <v>0</v>
      </c>
      <c r="Z3048">
        <v>0</v>
      </c>
      <c r="AA3048">
        <v>0</v>
      </c>
      <c r="AC3048">
        <v>36.28</v>
      </c>
    </row>
    <row r="3049" spans="1:29">
      <c r="A3049">
        <v>3042</v>
      </c>
      <c r="B3049">
        <v>629</v>
      </c>
      <c r="C3049" t="s">
        <v>6377</v>
      </c>
      <c r="D3049" t="s">
        <v>6378</v>
      </c>
      <c r="E3049" t="s">
        <v>6379</v>
      </c>
      <c r="F3049" t="s">
        <v>6380</v>
      </c>
      <c r="G3049" t="str">
        <f>"00562981"</f>
        <v>00562981</v>
      </c>
      <c r="H3049">
        <v>30.16</v>
      </c>
      <c r="I3049">
        <v>0</v>
      </c>
      <c r="M3049">
        <v>0</v>
      </c>
      <c r="N3049">
        <v>4</v>
      </c>
      <c r="O3049">
        <v>2</v>
      </c>
      <c r="P3049">
        <v>36.159999999999997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0</v>
      </c>
      <c r="Z3049">
        <v>0</v>
      </c>
      <c r="AA3049">
        <v>0</v>
      </c>
      <c r="AC3049">
        <v>36.159999999999997</v>
      </c>
    </row>
    <row r="3050" spans="1:29">
      <c r="A3050">
        <v>3043</v>
      </c>
      <c r="B3050">
        <v>2843</v>
      </c>
      <c r="C3050" t="s">
        <v>6381</v>
      </c>
      <c r="D3050" t="s">
        <v>86</v>
      </c>
      <c r="E3050" t="s">
        <v>581</v>
      </c>
      <c r="F3050" t="s">
        <v>6382</v>
      </c>
      <c r="G3050" t="str">
        <f>"00525567"</f>
        <v>00525567</v>
      </c>
      <c r="H3050">
        <v>0</v>
      </c>
      <c r="I3050">
        <v>0</v>
      </c>
      <c r="M3050">
        <v>0</v>
      </c>
      <c r="N3050">
        <v>4</v>
      </c>
      <c r="O3050">
        <v>2</v>
      </c>
      <c r="P3050">
        <v>6</v>
      </c>
      <c r="Q3050">
        <v>21</v>
      </c>
      <c r="R3050">
        <v>21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21</v>
      </c>
      <c r="Z3050">
        <v>9</v>
      </c>
      <c r="AA3050">
        <v>0</v>
      </c>
      <c r="AC3050">
        <v>36</v>
      </c>
    </row>
    <row r="3051" spans="1:29">
      <c r="A3051">
        <v>3044</v>
      </c>
      <c r="B3051">
        <v>4918</v>
      </c>
      <c r="C3051" t="s">
        <v>6383</v>
      </c>
      <c r="D3051" t="s">
        <v>1370</v>
      </c>
      <c r="E3051" t="s">
        <v>165</v>
      </c>
      <c r="F3051" t="s">
        <v>6384</v>
      </c>
      <c r="G3051" t="str">
        <f>"00865588"</f>
        <v>00865588</v>
      </c>
      <c r="H3051">
        <v>30</v>
      </c>
      <c r="I3051">
        <v>0</v>
      </c>
      <c r="M3051">
        <v>0</v>
      </c>
      <c r="N3051">
        <v>0</v>
      </c>
      <c r="O3051">
        <v>0</v>
      </c>
      <c r="P3051">
        <v>30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0</v>
      </c>
      <c r="Y3051">
        <v>0</v>
      </c>
      <c r="Z3051">
        <v>6</v>
      </c>
      <c r="AA3051">
        <v>0</v>
      </c>
      <c r="AC3051">
        <v>36</v>
      </c>
    </row>
    <row r="3052" spans="1:29">
      <c r="A3052">
        <v>3045</v>
      </c>
      <c r="B3052">
        <v>2189</v>
      </c>
      <c r="C3052" t="s">
        <v>6385</v>
      </c>
      <c r="D3052" t="s">
        <v>52</v>
      </c>
      <c r="E3052" t="s">
        <v>18</v>
      </c>
      <c r="F3052" t="s">
        <v>6386</v>
      </c>
      <c r="G3052" t="str">
        <f>"00152256"</f>
        <v>00152256</v>
      </c>
      <c r="H3052">
        <v>0</v>
      </c>
      <c r="I3052">
        <v>10</v>
      </c>
      <c r="M3052">
        <v>0</v>
      </c>
      <c r="N3052">
        <v>4</v>
      </c>
      <c r="O3052">
        <v>2</v>
      </c>
      <c r="P3052">
        <v>16</v>
      </c>
      <c r="Q3052">
        <v>14</v>
      </c>
      <c r="R3052">
        <v>14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  <c r="Y3052">
        <v>14</v>
      </c>
      <c r="Z3052">
        <v>6</v>
      </c>
      <c r="AA3052">
        <v>0</v>
      </c>
      <c r="AC3052">
        <v>36</v>
      </c>
    </row>
    <row r="3053" spans="1:29">
      <c r="A3053">
        <v>3046</v>
      </c>
      <c r="B3053">
        <v>2085</v>
      </c>
      <c r="C3053" t="s">
        <v>6393</v>
      </c>
      <c r="D3053" t="s">
        <v>448</v>
      </c>
      <c r="E3053" t="s">
        <v>369</v>
      </c>
      <c r="F3053">
        <v>733352</v>
      </c>
      <c r="G3053" t="str">
        <f>"00853947"</f>
        <v>00853947</v>
      </c>
      <c r="H3053">
        <v>36</v>
      </c>
      <c r="I3053">
        <v>0</v>
      </c>
      <c r="M3053">
        <v>0</v>
      </c>
      <c r="N3053">
        <v>0</v>
      </c>
      <c r="O3053">
        <v>0</v>
      </c>
      <c r="P3053">
        <v>36</v>
      </c>
      <c r="Q3053">
        <v>0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0</v>
      </c>
      <c r="Y3053">
        <v>0</v>
      </c>
      <c r="Z3053">
        <v>0</v>
      </c>
      <c r="AA3053">
        <v>0</v>
      </c>
      <c r="AC3053">
        <v>36</v>
      </c>
    </row>
    <row r="3054" spans="1:29">
      <c r="A3054">
        <v>3047</v>
      </c>
      <c r="B3054">
        <v>911</v>
      </c>
      <c r="C3054" t="s">
        <v>924</v>
      </c>
      <c r="D3054" t="s">
        <v>1240</v>
      </c>
      <c r="E3054" t="s">
        <v>134</v>
      </c>
      <c r="F3054" t="s">
        <v>6391</v>
      </c>
      <c r="G3054" t="str">
        <f>"00753136"</f>
        <v>00753136</v>
      </c>
      <c r="H3054">
        <v>36</v>
      </c>
      <c r="I3054">
        <v>0</v>
      </c>
      <c r="M3054">
        <v>0</v>
      </c>
      <c r="N3054">
        <v>0</v>
      </c>
      <c r="O3054">
        <v>0</v>
      </c>
      <c r="P3054">
        <v>36</v>
      </c>
      <c r="Q3054">
        <v>0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  <c r="Y3054">
        <v>0</v>
      </c>
      <c r="Z3054">
        <v>0</v>
      </c>
      <c r="AA3054">
        <v>0</v>
      </c>
      <c r="AC3054">
        <v>36</v>
      </c>
    </row>
    <row r="3055" spans="1:29">
      <c r="A3055">
        <v>3048</v>
      </c>
      <c r="B3055">
        <v>4187</v>
      </c>
      <c r="C3055" t="s">
        <v>6399</v>
      </c>
      <c r="D3055" t="s">
        <v>1278</v>
      </c>
      <c r="E3055" t="s">
        <v>15</v>
      </c>
      <c r="F3055" t="s">
        <v>6400</v>
      </c>
      <c r="G3055" t="str">
        <f>"00861888"</f>
        <v>00861888</v>
      </c>
      <c r="H3055">
        <v>36</v>
      </c>
      <c r="I3055">
        <v>0</v>
      </c>
      <c r="M3055">
        <v>0</v>
      </c>
      <c r="N3055">
        <v>0</v>
      </c>
      <c r="O3055">
        <v>0</v>
      </c>
      <c r="P3055">
        <v>36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  <c r="Y3055">
        <v>0</v>
      </c>
      <c r="Z3055">
        <v>0</v>
      </c>
      <c r="AA3055">
        <v>0</v>
      </c>
      <c r="AC3055">
        <v>36</v>
      </c>
    </row>
    <row r="3056" spans="1:29">
      <c r="A3056">
        <v>3049</v>
      </c>
      <c r="B3056">
        <v>1116</v>
      </c>
      <c r="C3056" t="s">
        <v>6394</v>
      </c>
      <c r="D3056" t="s">
        <v>39</v>
      </c>
      <c r="E3056" t="s">
        <v>66</v>
      </c>
      <c r="F3056" t="s">
        <v>6395</v>
      </c>
      <c r="G3056" t="str">
        <f>"00857118"</f>
        <v>00857118</v>
      </c>
      <c r="H3056">
        <v>36</v>
      </c>
      <c r="I3056">
        <v>0</v>
      </c>
      <c r="M3056">
        <v>0</v>
      </c>
      <c r="N3056">
        <v>0</v>
      </c>
      <c r="O3056">
        <v>0</v>
      </c>
      <c r="P3056">
        <v>36</v>
      </c>
      <c r="Q3056">
        <v>0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  <c r="Y3056">
        <v>0</v>
      </c>
      <c r="Z3056">
        <v>0</v>
      </c>
      <c r="AA3056">
        <v>0</v>
      </c>
      <c r="AC3056">
        <v>36</v>
      </c>
    </row>
    <row r="3057" spans="1:29">
      <c r="A3057">
        <v>3050</v>
      </c>
      <c r="B3057">
        <v>1205</v>
      </c>
      <c r="C3057" t="s">
        <v>2779</v>
      </c>
      <c r="D3057" t="s">
        <v>216</v>
      </c>
      <c r="E3057" t="s">
        <v>1512</v>
      </c>
      <c r="F3057" t="s">
        <v>6392</v>
      </c>
      <c r="G3057" t="str">
        <f>"00857844"</f>
        <v>00857844</v>
      </c>
      <c r="H3057">
        <v>36</v>
      </c>
      <c r="I3057">
        <v>0</v>
      </c>
      <c r="M3057">
        <v>0</v>
      </c>
      <c r="N3057">
        <v>0</v>
      </c>
      <c r="O3057">
        <v>0</v>
      </c>
      <c r="P3057">
        <v>36</v>
      </c>
      <c r="Q3057">
        <v>0</v>
      </c>
      <c r="R3057">
        <v>0</v>
      </c>
      <c r="S3057">
        <v>0</v>
      </c>
      <c r="T3057">
        <v>0</v>
      </c>
      <c r="U3057">
        <v>0</v>
      </c>
      <c r="V3057">
        <v>0</v>
      </c>
      <c r="W3057">
        <v>0</v>
      </c>
      <c r="X3057">
        <v>0</v>
      </c>
      <c r="Y3057">
        <v>0</v>
      </c>
      <c r="Z3057">
        <v>0</v>
      </c>
      <c r="AA3057">
        <v>0</v>
      </c>
      <c r="AC3057">
        <v>36</v>
      </c>
    </row>
    <row r="3058" spans="1:29">
      <c r="A3058">
        <v>3051</v>
      </c>
      <c r="B3058">
        <v>4470</v>
      </c>
      <c r="C3058" t="s">
        <v>3872</v>
      </c>
      <c r="D3058" t="s">
        <v>1278</v>
      </c>
      <c r="E3058" t="s">
        <v>134</v>
      </c>
      <c r="F3058" t="s">
        <v>6389</v>
      </c>
      <c r="G3058" t="str">
        <f>"00863894"</f>
        <v>00863894</v>
      </c>
      <c r="H3058">
        <v>36</v>
      </c>
      <c r="I3058">
        <v>0</v>
      </c>
      <c r="M3058">
        <v>0</v>
      </c>
      <c r="N3058">
        <v>0</v>
      </c>
      <c r="O3058">
        <v>0</v>
      </c>
      <c r="P3058">
        <v>36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  <c r="Y3058">
        <v>0</v>
      </c>
      <c r="Z3058">
        <v>0</v>
      </c>
      <c r="AA3058">
        <v>0</v>
      </c>
      <c r="AC3058">
        <v>36</v>
      </c>
    </row>
    <row r="3059" spans="1:29">
      <c r="A3059">
        <v>3052</v>
      </c>
      <c r="B3059">
        <v>4330</v>
      </c>
      <c r="C3059" t="s">
        <v>6387</v>
      </c>
      <c r="D3059" t="s">
        <v>164</v>
      </c>
      <c r="E3059" t="s">
        <v>60</v>
      </c>
      <c r="F3059" t="s">
        <v>6388</v>
      </c>
      <c r="G3059" t="str">
        <f>"00861336"</f>
        <v>00861336</v>
      </c>
      <c r="H3059">
        <v>36</v>
      </c>
      <c r="I3059">
        <v>0</v>
      </c>
      <c r="M3059">
        <v>0</v>
      </c>
      <c r="N3059">
        <v>0</v>
      </c>
      <c r="O3059">
        <v>0</v>
      </c>
      <c r="P3059">
        <v>36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  <c r="Y3059">
        <v>0</v>
      </c>
      <c r="Z3059">
        <v>0</v>
      </c>
      <c r="AA3059">
        <v>0</v>
      </c>
      <c r="AC3059">
        <v>36</v>
      </c>
    </row>
    <row r="3060" spans="1:29">
      <c r="A3060">
        <v>3053</v>
      </c>
      <c r="B3060">
        <v>2417</v>
      </c>
      <c r="C3060" t="s">
        <v>6401</v>
      </c>
      <c r="D3060" t="s">
        <v>108</v>
      </c>
      <c r="E3060" t="s">
        <v>134</v>
      </c>
      <c r="F3060" t="s">
        <v>6402</v>
      </c>
      <c r="G3060" t="str">
        <f>"00864761"</f>
        <v>00864761</v>
      </c>
      <c r="H3060">
        <v>36</v>
      </c>
      <c r="I3060">
        <v>0</v>
      </c>
      <c r="M3060">
        <v>0</v>
      </c>
      <c r="N3060">
        <v>0</v>
      </c>
      <c r="O3060">
        <v>0</v>
      </c>
      <c r="P3060">
        <v>36</v>
      </c>
      <c r="Q3060">
        <v>0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  <c r="Y3060">
        <v>0</v>
      </c>
      <c r="Z3060">
        <v>0</v>
      </c>
      <c r="AA3060">
        <v>0</v>
      </c>
      <c r="AC3060">
        <v>36</v>
      </c>
    </row>
    <row r="3061" spans="1:29">
      <c r="A3061">
        <v>3054</v>
      </c>
      <c r="B3061">
        <v>1283</v>
      </c>
      <c r="C3061" t="s">
        <v>490</v>
      </c>
      <c r="D3061" t="s">
        <v>407</v>
      </c>
      <c r="E3061" t="s">
        <v>79</v>
      </c>
      <c r="F3061" t="s">
        <v>6398</v>
      </c>
      <c r="G3061" t="str">
        <f>"00510492"</f>
        <v>00510492</v>
      </c>
      <c r="H3061">
        <v>36</v>
      </c>
      <c r="I3061">
        <v>0</v>
      </c>
      <c r="M3061">
        <v>0</v>
      </c>
      <c r="N3061">
        <v>0</v>
      </c>
      <c r="O3061">
        <v>0</v>
      </c>
      <c r="P3061">
        <v>36</v>
      </c>
      <c r="Q3061">
        <v>0</v>
      </c>
      <c r="R3061">
        <v>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  <c r="Y3061">
        <v>0</v>
      </c>
      <c r="Z3061">
        <v>0</v>
      </c>
      <c r="AA3061">
        <v>0</v>
      </c>
      <c r="AC3061">
        <v>36</v>
      </c>
    </row>
    <row r="3062" spans="1:29">
      <c r="A3062">
        <v>3055</v>
      </c>
      <c r="B3062">
        <v>3760</v>
      </c>
      <c r="C3062" t="s">
        <v>2498</v>
      </c>
      <c r="D3062" t="s">
        <v>98</v>
      </c>
      <c r="E3062" t="s">
        <v>387</v>
      </c>
      <c r="F3062" t="s">
        <v>6390</v>
      </c>
      <c r="G3062" t="str">
        <f>"00697596"</f>
        <v>00697596</v>
      </c>
      <c r="H3062">
        <v>36</v>
      </c>
      <c r="I3062">
        <v>0</v>
      </c>
      <c r="M3062">
        <v>0</v>
      </c>
      <c r="N3062">
        <v>0</v>
      </c>
      <c r="O3062">
        <v>0</v>
      </c>
      <c r="P3062">
        <v>36</v>
      </c>
      <c r="Q3062">
        <v>0</v>
      </c>
      <c r="R3062">
        <v>0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0</v>
      </c>
      <c r="Y3062">
        <v>0</v>
      </c>
      <c r="Z3062">
        <v>0</v>
      </c>
      <c r="AA3062">
        <v>0</v>
      </c>
      <c r="AC3062">
        <v>36</v>
      </c>
    </row>
    <row r="3063" spans="1:29">
      <c r="A3063">
        <v>3056</v>
      </c>
      <c r="B3063">
        <v>583</v>
      </c>
      <c r="C3063" t="s">
        <v>1444</v>
      </c>
      <c r="D3063" t="s">
        <v>35</v>
      </c>
      <c r="E3063" t="s">
        <v>115</v>
      </c>
      <c r="F3063" t="s">
        <v>6403</v>
      </c>
      <c r="G3063" t="str">
        <f>"00856442"</f>
        <v>00856442</v>
      </c>
      <c r="H3063">
        <v>36</v>
      </c>
      <c r="I3063">
        <v>0</v>
      </c>
      <c r="M3063">
        <v>0</v>
      </c>
      <c r="N3063">
        <v>0</v>
      </c>
      <c r="O3063">
        <v>0</v>
      </c>
      <c r="P3063">
        <v>36</v>
      </c>
      <c r="Q3063">
        <v>0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0</v>
      </c>
      <c r="Z3063">
        <v>0</v>
      </c>
      <c r="AA3063">
        <v>0</v>
      </c>
      <c r="AC3063">
        <v>36</v>
      </c>
    </row>
    <row r="3064" spans="1:29">
      <c r="A3064">
        <v>3057</v>
      </c>
      <c r="B3064">
        <v>4360</v>
      </c>
      <c r="C3064" t="s">
        <v>4129</v>
      </c>
      <c r="D3064" t="s">
        <v>6396</v>
      </c>
      <c r="E3064" t="s">
        <v>227</v>
      </c>
      <c r="F3064" t="s">
        <v>6397</v>
      </c>
      <c r="G3064" t="str">
        <f>"00865227"</f>
        <v>00865227</v>
      </c>
      <c r="H3064">
        <v>36</v>
      </c>
      <c r="I3064">
        <v>0</v>
      </c>
      <c r="M3064">
        <v>0</v>
      </c>
      <c r="N3064">
        <v>0</v>
      </c>
      <c r="O3064">
        <v>0</v>
      </c>
      <c r="P3064">
        <v>36</v>
      </c>
      <c r="Q3064">
        <v>0</v>
      </c>
      <c r="R3064">
        <v>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  <c r="Y3064">
        <v>0</v>
      </c>
      <c r="Z3064">
        <v>0</v>
      </c>
      <c r="AA3064">
        <v>0</v>
      </c>
      <c r="AC3064">
        <v>36</v>
      </c>
    </row>
    <row r="3065" spans="1:29">
      <c r="A3065">
        <v>3058</v>
      </c>
      <c r="B3065">
        <v>3804</v>
      </c>
      <c r="C3065" t="s">
        <v>6275</v>
      </c>
      <c r="D3065" t="s">
        <v>31</v>
      </c>
      <c r="E3065" t="s">
        <v>18</v>
      </c>
      <c r="F3065" t="s">
        <v>6404</v>
      </c>
      <c r="G3065" t="str">
        <f>"00532284"</f>
        <v>00532284</v>
      </c>
      <c r="H3065">
        <v>20</v>
      </c>
      <c r="I3065">
        <v>10</v>
      </c>
      <c r="M3065">
        <v>0</v>
      </c>
      <c r="N3065">
        <v>0</v>
      </c>
      <c r="O3065">
        <v>0</v>
      </c>
      <c r="P3065">
        <v>30</v>
      </c>
      <c r="Q3065">
        <v>6</v>
      </c>
      <c r="R3065">
        <v>6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6</v>
      </c>
      <c r="Z3065">
        <v>0</v>
      </c>
      <c r="AA3065">
        <v>0</v>
      </c>
      <c r="AC3065">
        <v>36</v>
      </c>
    </row>
    <row r="3066" spans="1:29">
      <c r="A3066">
        <v>3059</v>
      </c>
      <c r="B3066">
        <v>1440</v>
      </c>
      <c r="C3066" t="s">
        <v>3235</v>
      </c>
      <c r="D3066" t="s">
        <v>175</v>
      </c>
      <c r="E3066" t="s">
        <v>165</v>
      </c>
      <c r="F3066" t="s">
        <v>6405</v>
      </c>
      <c r="G3066" t="str">
        <f>"00475603"</f>
        <v>00475603</v>
      </c>
      <c r="H3066">
        <v>0</v>
      </c>
      <c r="I3066">
        <v>10</v>
      </c>
      <c r="L3066">
        <v>4</v>
      </c>
      <c r="M3066">
        <v>4</v>
      </c>
      <c r="N3066">
        <v>4</v>
      </c>
      <c r="O3066">
        <v>2</v>
      </c>
      <c r="P3066">
        <v>20</v>
      </c>
      <c r="Q3066">
        <v>16</v>
      </c>
      <c r="R3066">
        <v>16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  <c r="Y3066">
        <v>16</v>
      </c>
      <c r="Z3066">
        <v>0</v>
      </c>
      <c r="AA3066">
        <v>0</v>
      </c>
      <c r="AC3066">
        <v>36</v>
      </c>
    </row>
    <row r="3067" spans="1:29">
      <c r="A3067">
        <v>3060</v>
      </c>
      <c r="B3067">
        <v>4774</v>
      </c>
      <c r="C3067" t="s">
        <v>226</v>
      </c>
      <c r="D3067" t="s">
        <v>2843</v>
      </c>
      <c r="E3067" t="s">
        <v>122</v>
      </c>
      <c r="F3067" t="s">
        <v>6408</v>
      </c>
      <c r="G3067" t="str">
        <f>"00866783"</f>
        <v>00866783</v>
      </c>
      <c r="H3067">
        <v>26.92</v>
      </c>
      <c r="I3067">
        <v>0</v>
      </c>
      <c r="M3067">
        <v>0</v>
      </c>
      <c r="N3067">
        <v>0</v>
      </c>
      <c r="O3067">
        <v>0</v>
      </c>
      <c r="P3067">
        <v>26.92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0</v>
      </c>
      <c r="Z3067">
        <v>9</v>
      </c>
      <c r="AA3067">
        <v>0</v>
      </c>
      <c r="AC3067">
        <v>35.92</v>
      </c>
    </row>
    <row r="3068" spans="1:29">
      <c r="A3068">
        <v>3061</v>
      </c>
      <c r="B3068">
        <v>2492</v>
      </c>
      <c r="C3068" t="s">
        <v>6406</v>
      </c>
      <c r="D3068" t="s">
        <v>159</v>
      </c>
      <c r="E3068" t="s">
        <v>227</v>
      </c>
      <c r="F3068" t="s">
        <v>6407</v>
      </c>
      <c r="G3068" t="str">
        <f>"00079604"</f>
        <v>00079604</v>
      </c>
      <c r="H3068">
        <v>26.92</v>
      </c>
      <c r="I3068">
        <v>0</v>
      </c>
      <c r="M3068">
        <v>0</v>
      </c>
      <c r="N3068">
        <v>0</v>
      </c>
      <c r="O3068">
        <v>0</v>
      </c>
      <c r="P3068">
        <v>26.92</v>
      </c>
      <c r="Q3068">
        <v>0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0</v>
      </c>
      <c r="Y3068">
        <v>0</v>
      </c>
      <c r="Z3068">
        <v>9</v>
      </c>
      <c r="AA3068">
        <v>0</v>
      </c>
      <c r="AC3068">
        <v>35.92</v>
      </c>
    </row>
    <row r="3069" spans="1:29">
      <c r="A3069">
        <v>3062</v>
      </c>
      <c r="B3069">
        <v>1920</v>
      </c>
      <c r="C3069" t="s">
        <v>6409</v>
      </c>
      <c r="D3069" t="s">
        <v>27</v>
      </c>
      <c r="E3069" t="s">
        <v>79</v>
      </c>
      <c r="F3069" t="s">
        <v>6410</v>
      </c>
      <c r="G3069" t="str">
        <f>"00539155"</f>
        <v>00539155</v>
      </c>
      <c r="H3069">
        <v>28.92</v>
      </c>
      <c r="I3069">
        <v>0</v>
      </c>
      <c r="M3069">
        <v>0</v>
      </c>
      <c r="N3069">
        <v>4</v>
      </c>
      <c r="O3069">
        <v>0</v>
      </c>
      <c r="P3069">
        <v>32.92</v>
      </c>
      <c r="Q3069">
        <v>0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0</v>
      </c>
      <c r="Z3069">
        <v>3</v>
      </c>
      <c r="AA3069">
        <v>0</v>
      </c>
      <c r="AC3069">
        <v>35.92</v>
      </c>
    </row>
    <row r="3070" spans="1:29">
      <c r="A3070">
        <v>3063</v>
      </c>
      <c r="B3070">
        <v>488</v>
      </c>
      <c r="C3070" t="s">
        <v>6411</v>
      </c>
      <c r="D3070" t="s">
        <v>20</v>
      </c>
      <c r="E3070" t="s">
        <v>156</v>
      </c>
      <c r="F3070" t="s">
        <v>6412</v>
      </c>
      <c r="G3070" t="str">
        <f>"00525167"</f>
        <v>00525167</v>
      </c>
      <c r="H3070">
        <v>22.92</v>
      </c>
      <c r="I3070">
        <v>0</v>
      </c>
      <c r="M3070">
        <v>0</v>
      </c>
      <c r="N3070">
        <v>0</v>
      </c>
      <c r="O3070">
        <v>0</v>
      </c>
      <c r="P3070">
        <v>22.92</v>
      </c>
      <c r="Q3070">
        <v>13</v>
      </c>
      <c r="R3070">
        <v>13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0</v>
      </c>
      <c r="Y3070">
        <v>13</v>
      </c>
      <c r="Z3070">
        <v>0</v>
      </c>
      <c r="AA3070">
        <v>0</v>
      </c>
      <c r="AC3070">
        <v>35.92</v>
      </c>
    </row>
    <row r="3071" spans="1:29">
      <c r="A3071">
        <v>3064</v>
      </c>
      <c r="B3071">
        <v>2565</v>
      </c>
      <c r="C3071" t="s">
        <v>6413</v>
      </c>
      <c r="D3071" t="s">
        <v>86</v>
      </c>
      <c r="E3071" t="s">
        <v>79</v>
      </c>
      <c r="F3071" t="s">
        <v>6414</v>
      </c>
      <c r="G3071" t="str">
        <f>"00708785"</f>
        <v>00708785</v>
      </c>
      <c r="H3071">
        <v>32.799999999999997</v>
      </c>
      <c r="I3071">
        <v>0</v>
      </c>
      <c r="M3071">
        <v>0</v>
      </c>
      <c r="N3071">
        <v>0</v>
      </c>
      <c r="O3071">
        <v>0</v>
      </c>
      <c r="P3071">
        <v>32.799999999999997</v>
      </c>
      <c r="Q3071">
        <v>0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0</v>
      </c>
      <c r="Y3071">
        <v>0</v>
      </c>
      <c r="Z3071">
        <v>3</v>
      </c>
      <c r="AA3071">
        <v>0</v>
      </c>
      <c r="AC3071">
        <v>35.799999999999997</v>
      </c>
    </row>
    <row r="3072" spans="1:29">
      <c r="A3072">
        <v>3065</v>
      </c>
      <c r="B3072">
        <v>3158</v>
      </c>
      <c r="C3072" t="s">
        <v>6419</v>
      </c>
      <c r="D3072" t="s">
        <v>6420</v>
      </c>
      <c r="E3072" t="s">
        <v>6421</v>
      </c>
      <c r="F3072" t="s">
        <v>6422</v>
      </c>
      <c r="G3072" t="str">
        <f>"00862836"</f>
        <v>00862836</v>
      </c>
      <c r="H3072">
        <v>28.8</v>
      </c>
      <c r="I3072">
        <v>0</v>
      </c>
      <c r="M3072">
        <v>0</v>
      </c>
      <c r="N3072">
        <v>4</v>
      </c>
      <c r="O3072">
        <v>0</v>
      </c>
      <c r="P3072">
        <v>32.799999999999997</v>
      </c>
      <c r="Q3072">
        <v>0</v>
      </c>
      <c r="R3072">
        <v>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0</v>
      </c>
      <c r="Y3072">
        <v>0</v>
      </c>
      <c r="Z3072">
        <v>3</v>
      </c>
      <c r="AA3072">
        <v>0</v>
      </c>
      <c r="AC3072">
        <v>35.799999999999997</v>
      </c>
    </row>
    <row r="3073" spans="1:29">
      <c r="A3073">
        <v>3066</v>
      </c>
      <c r="B3073">
        <v>3130</v>
      </c>
      <c r="C3073" t="s">
        <v>6416</v>
      </c>
      <c r="D3073" t="s">
        <v>98</v>
      </c>
      <c r="E3073" t="s">
        <v>621</v>
      </c>
      <c r="F3073" t="s">
        <v>6417</v>
      </c>
      <c r="G3073" t="str">
        <f>"00861758"</f>
        <v>00861758</v>
      </c>
      <c r="H3073">
        <v>28.8</v>
      </c>
      <c r="I3073">
        <v>0</v>
      </c>
      <c r="M3073">
        <v>0</v>
      </c>
      <c r="N3073">
        <v>4</v>
      </c>
      <c r="O3073">
        <v>0</v>
      </c>
      <c r="P3073">
        <v>32.799999999999997</v>
      </c>
      <c r="Q3073">
        <v>0</v>
      </c>
      <c r="R3073">
        <v>0</v>
      </c>
      <c r="S3073">
        <v>0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0</v>
      </c>
      <c r="Z3073">
        <v>3</v>
      </c>
      <c r="AA3073">
        <v>0</v>
      </c>
      <c r="AC3073">
        <v>35.799999999999997</v>
      </c>
    </row>
    <row r="3074" spans="1:29">
      <c r="A3074">
        <v>3067</v>
      </c>
      <c r="B3074">
        <v>18</v>
      </c>
      <c r="C3074" t="s">
        <v>404</v>
      </c>
      <c r="D3074" t="s">
        <v>179</v>
      </c>
      <c r="E3074" t="s">
        <v>15</v>
      </c>
      <c r="F3074" t="s">
        <v>6418</v>
      </c>
      <c r="G3074" t="str">
        <f>"00221876"</f>
        <v>00221876</v>
      </c>
      <c r="H3074">
        <v>28.8</v>
      </c>
      <c r="I3074">
        <v>0</v>
      </c>
      <c r="M3074">
        <v>0</v>
      </c>
      <c r="N3074">
        <v>4</v>
      </c>
      <c r="O3074">
        <v>0</v>
      </c>
      <c r="P3074">
        <v>32.799999999999997</v>
      </c>
      <c r="Q3074">
        <v>0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  <c r="Y3074">
        <v>0</v>
      </c>
      <c r="Z3074">
        <v>3</v>
      </c>
      <c r="AA3074">
        <v>0</v>
      </c>
      <c r="AC3074">
        <v>35.799999999999997</v>
      </c>
    </row>
    <row r="3075" spans="1:29">
      <c r="A3075">
        <v>3068</v>
      </c>
      <c r="B3075">
        <v>1709</v>
      </c>
      <c r="C3075" t="s">
        <v>5800</v>
      </c>
      <c r="D3075" t="s">
        <v>98</v>
      </c>
      <c r="E3075" t="s">
        <v>28</v>
      </c>
      <c r="F3075" t="s">
        <v>6415</v>
      </c>
      <c r="G3075" t="str">
        <f>"00860730"</f>
        <v>00860730</v>
      </c>
      <c r="H3075">
        <v>28.8</v>
      </c>
      <c r="I3075">
        <v>0</v>
      </c>
      <c r="M3075">
        <v>0</v>
      </c>
      <c r="N3075">
        <v>4</v>
      </c>
      <c r="O3075">
        <v>0</v>
      </c>
      <c r="P3075">
        <v>32.799999999999997</v>
      </c>
      <c r="Q3075">
        <v>0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0</v>
      </c>
      <c r="Z3075">
        <v>3</v>
      </c>
      <c r="AA3075">
        <v>0</v>
      </c>
      <c r="AC3075">
        <v>35.799999999999997</v>
      </c>
    </row>
    <row r="3076" spans="1:29">
      <c r="A3076">
        <v>3069</v>
      </c>
      <c r="B3076">
        <v>250</v>
      </c>
      <c r="C3076" t="s">
        <v>6423</v>
      </c>
      <c r="D3076" t="s">
        <v>5362</v>
      </c>
      <c r="E3076" t="s">
        <v>187</v>
      </c>
      <c r="F3076" t="s">
        <v>6424</v>
      </c>
      <c r="G3076" t="str">
        <f>"00502198"</f>
        <v>00502198</v>
      </c>
      <c r="H3076">
        <v>28.8</v>
      </c>
      <c r="I3076">
        <v>0</v>
      </c>
      <c r="M3076">
        <v>0</v>
      </c>
      <c r="N3076">
        <v>0</v>
      </c>
      <c r="O3076">
        <v>0</v>
      </c>
      <c r="P3076">
        <v>28.8</v>
      </c>
      <c r="Q3076">
        <v>7</v>
      </c>
      <c r="R3076">
        <v>7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  <c r="Y3076">
        <v>7</v>
      </c>
      <c r="Z3076">
        <v>0</v>
      </c>
      <c r="AA3076">
        <v>0</v>
      </c>
      <c r="AC3076">
        <v>35.799999999999997</v>
      </c>
    </row>
    <row r="3077" spans="1:29">
      <c r="A3077">
        <v>3070</v>
      </c>
      <c r="B3077">
        <v>3460</v>
      </c>
      <c r="C3077" t="s">
        <v>1086</v>
      </c>
      <c r="D3077" t="s">
        <v>185</v>
      </c>
      <c r="E3077" t="s">
        <v>122</v>
      </c>
      <c r="F3077" t="s">
        <v>6425</v>
      </c>
      <c r="G3077" t="str">
        <f>"00355966"</f>
        <v>00355966</v>
      </c>
      <c r="H3077">
        <v>29.76</v>
      </c>
      <c r="I3077">
        <v>0</v>
      </c>
      <c r="M3077">
        <v>0</v>
      </c>
      <c r="N3077">
        <v>0</v>
      </c>
      <c r="O3077">
        <v>0</v>
      </c>
      <c r="P3077">
        <v>29.76</v>
      </c>
      <c r="Q3077">
        <v>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  <c r="Y3077">
        <v>0</v>
      </c>
      <c r="Z3077">
        <v>6</v>
      </c>
      <c r="AA3077">
        <v>0</v>
      </c>
      <c r="AC3077">
        <v>35.76</v>
      </c>
    </row>
    <row r="3078" spans="1:29">
      <c r="A3078">
        <v>3071</v>
      </c>
      <c r="B3078">
        <v>4260</v>
      </c>
      <c r="C3078" t="s">
        <v>6426</v>
      </c>
      <c r="D3078" t="s">
        <v>248</v>
      </c>
      <c r="E3078" t="s">
        <v>79</v>
      </c>
      <c r="F3078" t="s">
        <v>6427</v>
      </c>
      <c r="G3078" t="str">
        <f>"201406008825"</f>
        <v>201406008825</v>
      </c>
      <c r="H3078">
        <v>15.72</v>
      </c>
      <c r="I3078">
        <v>10</v>
      </c>
      <c r="M3078">
        <v>0</v>
      </c>
      <c r="N3078">
        <v>4</v>
      </c>
      <c r="O3078">
        <v>0</v>
      </c>
      <c r="P3078">
        <v>29.72</v>
      </c>
      <c r="Q3078">
        <v>0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  <c r="Y3078">
        <v>0</v>
      </c>
      <c r="Z3078">
        <v>6</v>
      </c>
      <c r="AA3078">
        <v>0</v>
      </c>
      <c r="AC3078">
        <v>35.72</v>
      </c>
    </row>
    <row r="3079" spans="1:29">
      <c r="A3079">
        <v>3072</v>
      </c>
      <c r="B3079">
        <v>861</v>
      </c>
      <c r="C3079" t="s">
        <v>6428</v>
      </c>
      <c r="D3079" t="s">
        <v>52</v>
      </c>
      <c r="E3079" t="s">
        <v>15</v>
      </c>
      <c r="F3079" t="s">
        <v>6429</v>
      </c>
      <c r="G3079" t="str">
        <f>"201512003087"</f>
        <v>201512003087</v>
      </c>
      <c r="H3079">
        <v>31.72</v>
      </c>
      <c r="I3079">
        <v>0</v>
      </c>
      <c r="M3079">
        <v>0</v>
      </c>
      <c r="N3079">
        <v>4</v>
      </c>
      <c r="O3079">
        <v>0</v>
      </c>
      <c r="P3079">
        <v>35.72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  <c r="Y3079">
        <v>0</v>
      </c>
      <c r="Z3079">
        <v>0</v>
      </c>
      <c r="AA3079">
        <v>0</v>
      </c>
      <c r="AC3079">
        <v>35.72</v>
      </c>
    </row>
    <row r="3080" spans="1:29">
      <c r="A3080">
        <v>3073</v>
      </c>
      <c r="B3080">
        <v>2230</v>
      </c>
      <c r="C3080" t="s">
        <v>6430</v>
      </c>
      <c r="D3080" t="s">
        <v>52</v>
      </c>
      <c r="E3080" t="s">
        <v>79</v>
      </c>
      <c r="F3080" t="s">
        <v>6431</v>
      </c>
      <c r="G3080" t="str">
        <f>"00697173"</f>
        <v>00697173</v>
      </c>
      <c r="H3080">
        <v>19.68</v>
      </c>
      <c r="I3080">
        <v>10</v>
      </c>
      <c r="M3080">
        <v>0</v>
      </c>
      <c r="N3080">
        <v>0</v>
      </c>
      <c r="O3080">
        <v>0</v>
      </c>
      <c r="P3080">
        <v>29.68</v>
      </c>
      <c r="Q3080">
        <v>0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0</v>
      </c>
      <c r="Z3080">
        <v>6</v>
      </c>
      <c r="AA3080">
        <v>0</v>
      </c>
      <c r="AC3080">
        <v>35.68</v>
      </c>
    </row>
    <row r="3081" spans="1:29">
      <c r="A3081">
        <v>3074</v>
      </c>
      <c r="B3081">
        <v>2664</v>
      </c>
      <c r="C3081" t="s">
        <v>6432</v>
      </c>
      <c r="D3081" t="s">
        <v>27</v>
      </c>
      <c r="E3081" t="s">
        <v>134</v>
      </c>
      <c r="F3081" t="s">
        <v>6433</v>
      </c>
      <c r="G3081" t="str">
        <f>"00862681"</f>
        <v>00862681</v>
      </c>
      <c r="H3081">
        <v>25.6</v>
      </c>
      <c r="I3081">
        <v>0</v>
      </c>
      <c r="M3081">
        <v>0</v>
      </c>
      <c r="N3081">
        <v>4</v>
      </c>
      <c r="O3081">
        <v>0</v>
      </c>
      <c r="P3081">
        <v>29.6</v>
      </c>
      <c r="Q3081">
        <v>0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0</v>
      </c>
      <c r="Z3081">
        <v>6</v>
      </c>
      <c r="AA3081">
        <v>0</v>
      </c>
      <c r="AC3081">
        <v>35.6</v>
      </c>
    </row>
    <row r="3082" spans="1:29">
      <c r="A3082">
        <v>3075</v>
      </c>
      <c r="B3082">
        <v>1908</v>
      </c>
      <c r="C3082" t="s">
        <v>6434</v>
      </c>
      <c r="D3082" t="s">
        <v>159</v>
      </c>
      <c r="E3082" t="s">
        <v>15</v>
      </c>
      <c r="F3082" t="s">
        <v>6435</v>
      </c>
      <c r="G3082" t="str">
        <f>"00860509"</f>
        <v>00860509</v>
      </c>
      <c r="H3082">
        <v>21.6</v>
      </c>
      <c r="I3082">
        <v>0</v>
      </c>
      <c r="L3082">
        <v>4</v>
      </c>
      <c r="M3082">
        <v>4</v>
      </c>
      <c r="N3082">
        <v>4</v>
      </c>
      <c r="O3082">
        <v>0</v>
      </c>
      <c r="P3082">
        <v>29.6</v>
      </c>
      <c r="Q3082">
        <v>0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  <c r="Y3082">
        <v>0</v>
      </c>
      <c r="Z3082">
        <v>6</v>
      </c>
      <c r="AA3082">
        <v>0</v>
      </c>
      <c r="AC3082">
        <v>35.6</v>
      </c>
    </row>
    <row r="3083" spans="1:29">
      <c r="A3083">
        <v>3076</v>
      </c>
      <c r="B3083">
        <v>4257</v>
      </c>
      <c r="C3083" t="s">
        <v>4704</v>
      </c>
      <c r="D3083" t="s">
        <v>52</v>
      </c>
      <c r="E3083" t="s">
        <v>337</v>
      </c>
      <c r="F3083" t="s">
        <v>6438</v>
      </c>
      <c r="G3083" t="str">
        <f>"00603394"</f>
        <v>00603394</v>
      </c>
      <c r="H3083">
        <v>21.6</v>
      </c>
      <c r="I3083">
        <v>0</v>
      </c>
      <c r="L3083">
        <v>4</v>
      </c>
      <c r="M3083">
        <v>4</v>
      </c>
      <c r="N3083">
        <v>4</v>
      </c>
      <c r="O3083">
        <v>0</v>
      </c>
      <c r="P3083">
        <v>29.6</v>
      </c>
      <c r="Q3083">
        <v>0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0</v>
      </c>
      <c r="Y3083">
        <v>0</v>
      </c>
      <c r="Z3083">
        <v>6</v>
      </c>
      <c r="AA3083">
        <v>0</v>
      </c>
      <c r="AC3083">
        <v>35.6</v>
      </c>
    </row>
    <row r="3084" spans="1:29">
      <c r="A3084">
        <v>3077</v>
      </c>
      <c r="B3084">
        <v>3003</v>
      </c>
      <c r="C3084" t="s">
        <v>6436</v>
      </c>
      <c r="D3084" t="s">
        <v>1875</v>
      </c>
      <c r="E3084" t="s">
        <v>889</v>
      </c>
      <c r="F3084" t="s">
        <v>6437</v>
      </c>
      <c r="G3084" t="str">
        <f>"00810860"</f>
        <v>00810860</v>
      </c>
      <c r="H3084">
        <v>21.6</v>
      </c>
      <c r="I3084">
        <v>0</v>
      </c>
      <c r="L3084">
        <v>4</v>
      </c>
      <c r="M3084">
        <v>4</v>
      </c>
      <c r="N3084">
        <v>4</v>
      </c>
      <c r="O3084">
        <v>0</v>
      </c>
      <c r="P3084">
        <v>29.6</v>
      </c>
      <c r="Q3084">
        <v>0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  <c r="Y3084">
        <v>0</v>
      </c>
      <c r="Z3084">
        <v>6</v>
      </c>
      <c r="AA3084">
        <v>0</v>
      </c>
      <c r="AC3084">
        <v>35.6</v>
      </c>
    </row>
    <row r="3085" spans="1:29">
      <c r="A3085">
        <v>3078</v>
      </c>
      <c r="B3085">
        <v>2859</v>
      </c>
      <c r="C3085" t="s">
        <v>6439</v>
      </c>
      <c r="D3085" t="s">
        <v>27</v>
      </c>
      <c r="E3085" t="s">
        <v>53</v>
      </c>
      <c r="F3085" t="s">
        <v>6440</v>
      </c>
      <c r="G3085" t="str">
        <f>"00500078"</f>
        <v>00500078</v>
      </c>
      <c r="H3085">
        <v>21.6</v>
      </c>
      <c r="I3085">
        <v>0</v>
      </c>
      <c r="M3085">
        <v>0</v>
      </c>
      <c r="N3085">
        <v>4</v>
      </c>
      <c r="O3085">
        <v>0</v>
      </c>
      <c r="P3085">
        <v>25.6</v>
      </c>
      <c r="Q3085">
        <v>7</v>
      </c>
      <c r="R3085">
        <v>7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  <c r="Y3085">
        <v>7</v>
      </c>
      <c r="Z3085">
        <v>3</v>
      </c>
      <c r="AA3085">
        <v>0</v>
      </c>
      <c r="AC3085">
        <v>35.6</v>
      </c>
    </row>
    <row r="3086" spans="1:29">
      <c r="A3086">
        <v>3079</v>
      </c>
      <c r="B3086">
        <v>4834</v>
      </c>
      <c r="C3086" t="s">
        <v>6441</v>
      </c>
      <c r="D3086" t="s">
        <v>130</v>
      </c>
      <c r="E3086" t="s">
        <v>28</v>
      </c>
      <c r="F3086" t="s">
        <v>6442</v>
      </c>
      <c r="G3086" t="str">
        <f>"00795303"</f>
        <v>00795303</v>
      </c>
      <c r="H3086">
        <v>35.6</v>
      </c>
      <c r="I3086">
        <v>0</v>
      </c>
      <c r="M3086">
        <v>0</v>
      </c>
      <c r="N3086">
        <v>0</v>
      </c>
      <c r="O3086">
        <v>0</v>
      </c>
      <c r="P3086">
        <v>35.6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  <c r="Y3086">
        <v>0</v>
      </c>
      <c r="Z3086">
        <v>0</v>
      </c>
      <c r="AA3086">
        <v>0</v>
      </c>
      <c r="AC3086">
        <v>35.6</v>
      </c>
    </row>
    <row r="3087" spans="1:29">
      <c r="A3087">
        <v>3080</v>
      </c>
      <c r="B3087">
        <v>3414</v>
      </c>
      <c r="C3087" t="s">
        <v>6443</v>
      </c>
      <c r="D3087" t="s">
        <v>1370</v>
      </c>
      <c r="E3087" t="s">
        <v>156</v>
      </c>
      <c r="F3087" t="s">
        <v>6444</v>
      </c>
      <c r="G3087" t="str">
        <f>"00864596"</f>
        <v>00864596</v>
      </c>
      <c r="H3087">
        <v>31.6</v>
      </c>
      <c r="I3087">
        <v>0</v>
      </c>
      <c r="L3087">
        <v>4</v>
      </c>
      <c r="M3087">
        <v>4</v>
      </c>
      <c r="N3087">
        <v>0</v>
      </c>
      <c r="O3087">
        <v>0</v>
      </c>
      <c r="P3087">
        <v>35.6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0</v>
      </c>
      <c r="Z3087">
        <v>0</v>
      </c>
      <c r="AA3087">
        <v>0</v>
      </c>
      <c r="AC3087">
        <v>35.6</v>
      </c>
    </row>
    <row r="3088" spans="1:29">
      <c r="A3088">
        <v>3081</v>
      </c>
      <c r="B3088">
        <v>27</v>
      </c>
      <c r="C3088" t="s">
        <v>6456</v>
      </c>
      <c r="D3088" t="s">
        <v>205</v>
      </c>
      <c r="E3088" t="s">
        <v>6457</v>
      </c>
      <c r="F3088" t="s">
        <v>6458</v>
      </c>
      <c r="G3088" t="str">
        <f>"00329378"</f>
        <v>00329378</v>
      </c>
      <c r="H3088">
        <v>21.6</v>
      </c>
      <c r="I3088">
        <v>0</v>
      </c>
      <c r="J3088">
        <v>8</v>
      </c>
      <c r="M3088">
        <v>8</v>
      </c>
      <c r="N3088">
        <v>4</v>
      </c>
      <c r="O3088">
        <v>2</v>
      </c>
      <c r="P3088">
        <v>35.6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  <c r="Y3088">
        <v>0</v>
      </c>
      <c r="Z3088">
        <v>0</v>
      </c>
      <c r="AA3088">
        <v>0</v>
      </c>
      <c r="AC3088">
        <v>35.6</v>
      </c>
    </row>
    <row r="3089" spans="1:29">
      <c r="A3089">
        <v>3082</v>
      </c>
      <c r="B3089">
        <v>1584</v>
      </c>
      <c r="C3089" t="s">
        <v>6449</v>
      </c>
      <c r="D3089" t="s">
        <v>930</v>
      </c>
      <c r="E3089" t="s">
        <v>28</v>
      </c>
      <c r="F3089" t="s">
        <v>6450</v>
      </c>
      <c r="G3089" t="str">
        <f>"00428565"</f>
        <v>00428565</v>
      </c>
      <c r="H3089">
        <v>21.6</v>
      </c>
      <c r="I3089">
        <v>0</v>
      </c>
      <c r="J3089">
        <v>8</v>
      </c>
      <c r="M3089">
        <v>8</v>
      </c>
      <c r="N3089">
        <v>4</v>
      </c>
      <c r="O3089">
        <v>2</v>
      </c>
      <c r="P3089">
        <v>35.6</v>
      </c>
      <c r="Q3089">
        <v>0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0</v>
      </c>
      <c r="Y3089">
        <v>0</v>
      </c>
      <c r="Z3089">
        <v>0</v>
      </c>
      <c r="AA3089">
        <v>0</v>
      </c>
      <c r="AC3089">
        <v>35.6</v>
      </c>
    </row>
    <row r="3090" spans="1:29">
      <c r="A3090">
        <v>3083</v>
      </c>
      <c r="B3090">
        <v>2172</v>
      </c>
      <c r="C3090" t="s">
        <v>6453</v>
      </c>
      <c r="D3090" t="s">
        <v>1893</v>
      </c>
      <c r="E3090" t="s">
        <v>6454</v>
      </c>
      <c r="F3090" t="s">
        <v>6455</v>
      </c>
      <c r="G3090" t="str">
        <f>"00452459"</f>
        <v>00452459</v>
      </c>
      <c r="H3090">
        <v>21.6</v>
      </c>
      <c r="I3090">
        <v>0</v>
      </c>
      <c r="J3090">
        <v>8</v>
      </c>
      <c r="M3090">
        <v>8</v>
      </c>
      <c r="N3090">
        <v>4</v>
      </c>
      <c r="O3090">
        <v>2</v>
      </c>
      <c r="P3090">
        <v>35.6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  <c r="Y3090">
        <v>0</v>
      </c>
      <c r="Z3090">
        <v>0</v>
      </c>
      <c r="AA3090">
        <v>0</v>
      </c>
      <c r="AC3090">
        <v>35.6</v>
      </c>
    </row>
    <row r="3091" spans="1:29">
      <c r="A3091">
        <v>3084</v>
      </c>
      <c r="B3091">
        <v>812</v>
      </c>
      <c r="C3091" t="s">
        <v>6447</v>
      </c>
      <c r="D3091" t="s">
        <v>79</v>
      </c>
      <c r="E3091" t="s">
        <v>15</v>
      </c>
      <c r="F3091" t="s">
        <v>6448</v>
      </c>
      <c r="G3091" t="str">
        <f>"00853930"</f>
        <v>00853930</v>
      </c>
      <c r="H3091">
        <v>21.6</v>
      </c>
      <c r="I3091">
        <v>0</v>
      </c>
      <c r="J3091">
        <v>8</v>
      </c>
      <c r="M3091">
        <v>8</v>
      </c>
      <c r="N3091">
        <v>4</v>
      </c>
      <c r="O3091">
        <v>2</v>
      </c>
      <c r="P3091">
        <v>35.6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  <c r="Y3091">
        <v>0</v>
      </c>
      <c r="Z3091">
        <v>0</v>
      </c>
      <c r="AA3091">
        <v>0</v>
      </c>
      <c r="AC3091">
        <v>35.6</v>
      </c>
    </row>
    <row r="3092" spans="1:29">
      <c r="A3092">
        <v>3085</v>
      </c>
      <c r="B3092">
        <v>2267</v>
      </c>
      <c r="C3092" t="s">
        <v>6445</v>
      </c>
      <c r="D3092" t="s">
        <v>24</v>
      </c>
      <c r="E3092" t="s">
        <v>15</v>
      </c>
      <c r="F3092" t="s">
        <v>6446</v>
      </c>
      <c r="G3092" t="str">
        <f>"00862713"</f>
        <v>00862713</v>
      </c>
      <c r="H3092">
        <v>21.6</v>
      </c>
      <c r="I3092">
        <v>10</v>
      </c>
      <c r="M3092">
        <v>0</v>
      </c>
      <c r="N3092">
        <v>4</v>
      </c>
      <c r="O3092">
        <v>0</v>
      </c>
      <c r="P3092">
        <v>35.6</v>
      </c>
      <c r="Q3092">
        <v>0</v>
      </c>
      <c r="R3092">
        <v>0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  <c r="Y3092">
        <v>0</v>
      </c>
      <c r="Z3092">
        <v>0</v>
      </c>
      <c r="AA3092">
        <v>0</v>
      </c>
      <c r="AC3092">
        <v>35.6</v>
      </c>
    </row>
    <row r="3093" spans="1:29">
      <c r="A3093">
        <v>3086</v>
      </c>
      <c r="B3093">
        <v>4107</v>
      </c>
      <c r="C3093" t="s">
        <v>6451</v>
      </c>
      <c r="D3093" t="s">
        <v>31</v>
      </c>
      <c r="E3093" t="s">
        <v>187</v>
      </c>
      <c r="F3093" t="s">
        <v>6452</v>
      </c>
      <c r="G3093" t="str">
        <f>"00153211"</f>
        <v>00153211</v>
      </c>
      <c r="H3093">
        <v>21.6</v>
      </c>
      <c r="I3093">
        <v>0</v>
      </c>
      <c r="J3093">
        <v>8</v>
      </c>
      <c r="M3093">
        <v>8</v>
      </c>
      <c r="N3093">
        <v>4</v>
      </c>
      <c r="O3093">
        <v>2</v>
      </c>
      <c r="P3093">
        <v>35.6</v>
      </c>
      <c r="Q3093">
        <v>0</v>
      </c>
      <c r="R3093">
        <v>0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0</v>
      </c>
      <c r="Y3093">
        <v>0</v>
      </c>
      <c r="Z3093">
        <v>0</v>
      </c>
      <c r="AA3093">
        <v>0</v>
      </c>
      <c r="AC3093">
        <v>35.6</v>
      </c>
    </row>
    <row r="3094" spans="1:29">
      <c r="A3094">
        <v>3087</v>
      </c>
      <c r="B3094">
        <v>4607</v>
      </c>
      <c r="C3094" t="s">
        <v>3902</v>
      </c>
      <c r="D3094" t="s">
        <v>1875</v>
      </c>
      <c r="E3094" t="s">
        <v>66</v>
      </c>
      <c r="F3094" t="s">
        <v>6459</v>
      </c>
      <c r="G3094" t="str">
        <f>"201602000432"</f>
        <v>201602000432</v>
      </c>
      <c r="H3094">
        <v>21.6</v>
      </c>
      <c r="I3094">
        <v>0</v>
      </c>
      <c r="J3094">
        <v>8</v>
      </c>
      <c r="M3094">
        <v>8</v>
      </c>
      <c r="N3094">
        <v>4</v>
      </c>
      <c r="O3094">
        <v>2</v>
      </c>
      <c r="P3094">
        <v>35.6</v>
      </c>
      <c r="Q3094">
        <v>0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0</v>
      </c>
      <c r="X3094">
        <v>0</v>
      </c>
      <c r="Y3094">
        <v>0</v>
      </c>
      <c r="Z3094">
        <v>0</v>
      </c>
      <c r="AA3094">
        <v>0</v>
      </c>
      <c r="AC3094">
        <v>35.6</v>
      </c>
    </row>
    <row r="3095" spans="1:29">
      <c r="A3095">
        <v>3088</v>
      </c>
      <c r="B3095">
        <v>4296</v>
      </c>
      <c r="C3095" t="s">
        <v>6460</v>
      </c>
      <c r="D3095" t="s">
        <v>4882</v>
      </c>
      <c r="E3095" t="s">
        <v>15</v>
      </c>
      <c r="F3095" t="s">
        <v>6461</v>
      </c>
      <c r="G3095" t="str">
        <f>"00530776"</f>
        <v>00530776</v>
      </c>
      <c r="H3095">
        <v>21.6</v>
      </c>
      <c r="I3095">
        <v>0</v>
      </c>
      <c r="M3095">
        <v>0</v>
      </c>
      <c r="N3095">
        <v>4</v>
      </c>
      <c r="O3095">
        <v>2</v>
      </c>
      <c r="P3095">
        <v>27.6</v>
      </c>
      <c r="Q3095">
        <v>8</v>
      </c>
      <c r="R3095">
        <v>8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8</v>
      </c>
      <c r="Z3095">
        <v>0</v>
      </c>
      <c r="AA3095">
        <v>0</v>
      </c>
      <c r="AC3095">
        <v>35.6</v>
      </c>
    </row>
    <row r="3096" spans="1:29">
      <c r="A3096">
        <v>3089</v>
      </c>
      <c r="B3096">
        <v>2482</v>
      </c>
      <c r="C3096" t="s">
        <v>6462</v>
      </c>
      <c r="D3096" t="s">
        <v>554</v>
      </c>
      <c r="E3096" t="s">
        <v>60</v>
      </c>
      <c r="F3096" t="s">
        <v>6463</v>
      </c>
      <c r="G3096" t="str">
        <f>"00650037"</f>
        <v>00650037</v>
      </c>
      <c r="H3096">
        <v>31.44</v>
      </c>
      <c r="I3096">
        <v>0</v>
      </c>
      <c r="M3096">
        <v>0</v>
      </c>
      <c r="N3096">
        <v>4</v>
      </c>
      <c r="O3096">
        <v>0</v>
      </c>
      <c r="P3096">
        <v>35.44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0</v>
      </c>
      <c r="Z3096">
        <v>0</v>
      </c>
      <c r="AA3096">
        <v>0</v>
      </c>
      <c r="AC3096">
        <v>35.44</v>
      </c>
    </row>
    <row r="3097" spans="1:29">
      <c r="A3097">
        <v>3090</v>
      </c>
      <c r="B3097">
        <v>3133</v>
      </c>
      <c r="C3097" t="s">
        <v>6464</v>
      </c>
      <c r="D3097" t="s">
        <v>24</v>
      </c>
      <c r="E3097" t="s">
        <v>15</v>
      </c>
      <c r="F3097" t="s">
        <v>6465</v>
      </c>
      <c r="G3097" t="str">
        <f>"00531249"</f>
        <v>00531249</v>
      </c>
      <c r="H3097">
        <v>22.4</v>
      </c>
      <c r="I3097">
        <v>0</v>
      </c>
      <c r="M3097">
        <v>0</v>
      </c>
      <c r="N3097">
        <v>4</v>
      </c>
      <c r="O3097">
        <v>0</v>
      </c>
      <c r="P3097">
        <v>26.4</v>
      </c>
      <c r="Q3097">
        <v>6</v>
      </c>
      <c r="R3097">
        <v>6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0</v>
      </c>
      <c r="Y3097">
        <v>6</v>
      </c>
      <c r="Z3097">
        <v>3</v>
      </c>
      <c r="AA3097">
        <v>0</v>
      </c>
      <c r="AC3097">
        <v>35.4</v>
      </c>
    </row>
    <row r="3098" spans="1:29">
      <c r="A3098">
        <v>3091</v>
      </c>
      <c r="B3098">
        <v>3338</v>
      </c>
      <c r="C3098" t="s">
        <v>6053</v>
      </c>
      <c r="D3098" t="s">
        <v>145</v>
      </c>
      <c r="E3098" t="s">
        <v>134</v>
      </c>
      <c r="F3098" t="s">
        <v>6466</v>
      </c>
      <c r="G3098" t="str">
        <f>"00157026"</f>
        <v>00157026</v>
      </c>
      <c r="H3098">
        <v>14.4</v>
      </c>
      <c r="I3098">
        <v>0</v>
      </c>
      <c r="M3098">
        <v>0</v>
      </c>
      <c r="N3098">
        <v>4</v>
      </c>
      <c r="O3098">
        <v>0</v>
      </c>
      <c r="P3098">
        <v>18.399999999999999</v>
      </c>
      <c r="Q3098">
        <v>14</v>
      </c>
      <c r="R3098">
        <v>14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  <c r="Y3098">
        <v>14</v>
      </c>
      <c r="Z3098">
        <v>3</v>
      </c>
      <c r="AA3098">
        <v>0</v>
      </c>
      <c r="AC3098">
        <v>35.4</v>
      </c>
    </row>
    <row r="3099" spans="1:29">
      <c r="A3099">
        <v>3092</v>
      </c>
      <c r="B3099">
        <v>1711</v>
      </c>
      <c r="C3099" t="s">
        <v>6467</v>
      </c>
      <c r="D3099" t="s">
        <v>2378</v>
      </c>
      <c r="E3099" t="s">
        <v>134</v>
      </c>
      <c r="F3099" t="s">
        <v>6468</v>
      </c>
      <c r="G3099" t="str">
        <f>"200908000351"</f>
        <v>200908000351</v>
      </c>
      <c r="H3099">
        <v>14.4</v>
      </c>
      <c r="I3099">
        <v>0</v>
      </c>
      <c r="L3099">
        <v>8</v>
      </c>
      <c r="M3099">
        <v>8</v>
      </c>
      <c r="N3099">
        <v>4</v>
      </c>
      <c r="O3099">
        <v>0</v>
      </c>
      <c r="P3099">
        <v>26.4</v>
      </c>
      <c r="Q3099">
        <v>9</v>
      </c>
      <c r="R3099">
        <v>9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  <c r="Y3099">
        <v>9</v>
      </c>
      <c r="Z3099">
        <v>0</v>
      </c>
      <c r="AA3099">
        <v>0</v>
      </c>
      <c r="AC3099">
        <v>35.4</v>
      </c>
    </row>
    <row r="3100" spans="1:29">
      <c r="A3100">
        <v>3093</v>
      </c>
      <c r="B3100">
        <v>142</v>
      </c>
      <c r="C3100" t="s">
        <v>1531</v>
      </c>
      <c r="D3100" t="s">
        <v>3214</v>
      </c>
      <c r="E3100" t="s">
        <v>581</v>
      </c>
      <c r="F3100" t="s">
        <v>6469</v>
      </c>
      <c r="G3100" t="str">
        <f>"00532922"</f>
        <v>00532922</v>
      </c>
      <c r="H3100">
        <v>14.4</v>
      </c>
      <c r="I3100">
        <v>0</v>
      </c>
      <c r="K3100">
        <v>6</v>
      </c>
      <c r="M3100">
        <v>6</v>
      </c>
      <c r="N3100">
        <v>4</v>
      </c>
      <c r="O3100">
        <v>0</v>
      </c>
      <c r="P3100">
        <v>24.4</v>
      </c>
      <c r="Q3100">
        <v>11</v>
      </c>
      <c r="R3100">
        <v>11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  <c r="Y3100">
        <v>11</v>
      </c>
      <c r="Z3100">
        <v>0</v>
      </c>
      <c r="AA3100">
        <v>0</v>
      </c>
      <c r="AC3100">
        <v>35.4</v>
      </c>
    </row>
    <row r="3101" spans="1:29">
      <c r="A3101">
        <v>3094</v>
      </c>
      <c r="B3101">
        <v>1258</v>
      </c>
      <c r="C3101" t="s">
        <v>6472</v>
      </c>
      <c r="D3101" t="s">
        <v>549</v>
      </c>
      <c r="E3101" t="s">
        <v>28</v>
      </c>
      <c r="F3101" t="s">
        <v>6473</v>
      </c>
      <c r="G3101" t="str">
        <f>"00858691"</f>
        <v>00858691</v>
      </c>
      <c r="H3101">
        <v>35.200000000000003</v>
      </c>
      <c r="I3101">
        <v>0</v>
      </c>
      <c r="M3101">
        <v>0</v>
      </c>
      <c r="N3101">
        <v>0</v>
      </c>
      <c r="O3101">
        <v>0</v>
      </c>
      <c r="P3101">
        <v>35.200000000000003</v>
      </c>
      <c r="Q3101">
        <v>0</v>
      </c>
      <c r="R3101">
        <v>0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0</v>
      </c>
      <c r="Y3101">
        <v>0</v>
      </c>
      <c r="Z3101">
        <v>0</v>
      </c>
      <c r="AA3101">
        <v>0</v>
      </c>
      <c r="AC3101">
        <v>35.200000000000003</v>
      </c>
    </row>
    <row r="3102" spans="1:29">
      <c r="A3102">
        <v>3095</v>
      </c>
      <c r="B3102">
        <v>2443</v>
      </c>
      <c r="C3102" t="s">
        <v>91</v>
      </c>
      <c r="D3102" t="s">
        <v>102</v>
      </c>
      <c r="E3102" t="s">
        <v>36</v>
      </c>
      <c r="F3102" t="s">
        <v>6474</v>
      </c>
      <c r="G3102" t="str">
        <f>"00652693"</f>
        <v>00652693</v>
      </c>
      <c r="H3102">
        <v>35.200000000000003</v>
      </c>
      <c r="I3102">
        <v>0</v>
      </c>
      <c r="M3102">
        <v>0</v>
      </c>
      <c r="N3102">
        <v>0</v>
      </c>
      <c r="O3102">
        <v>0</v>
      </c>
      <c r="P3102">
        <v>35.200000000000003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0</v>
      </c>
      <c r="Z3102">
        <v>0</v>
      </c>
      <c r="AA3102">
        <v>0</v>
      </c>
      <c r="AC3102">
        <v>35.200000000000003</v>
      </c>
    </row>
    <row r="3103" spans="1:29">
      <c r="A3103">
        <v>3096</v>
      </c>
      <c r="B3103">
        <v>4602</v>
      </c>
      <c r="C3103" t="s">
        <v>6470</v>
      </c>
      <c r="D3103" t="s">
        <v>52</v>
      </c>
      <c r="E3103" t="s">
        <v>322</v>
      </c>
      <c r="F3103" t="s">
        <v>6471</v>
      </c>
      <c r="G3103" t="str">
        <f>"00865827"</f>
        <v>00865827</v>
      </c>
      <c r="H3103">
        <v>35.200000000000003</v>
      </c>
      <c r="I3103">
        <v>0</v>
      </c>
      <c r="M3103">
        <v>0</v>
      </c>
      <c r="N3103">
        <v>0</v>
      </c>
      <c r="O3103">
        <v>0</v>
      </c>
      <c r="P3103">
        <v>35.200000000000003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0</v>
      </c>
      <c r="Y3103">
        <v>0</v>
      </c>
      <c r="Z3103">
        <v>0</v>
      </c>
      <c r="AA3103">
        <v>0</v>
      </c>
      <c r="AC3103">
        <v>35.200000000000003</v>
      </c>
    </row>
    <row r="3104" spans="1:29">
      <c r="A3104">
        <v>3097</v>
      </c>
      <c r="B3104">
        <v>2416</v>
      </c>
      <c r="C3104" t="s">
        <v>6475</v>
      </c>
      <c r="D3104" t="s">
        <v>27</v>
      </c>
      <c r="E3104" t="s">
        <v>18</v>
      </c>
      <c r="F3104" t="s">
        <v>6476</v>
      </c>
      <c r="G3104" t="str">
        <f>"201208000136"</f>
        <v>201208000136</v>
      </c>
      <c r="H3104">
        <v>25.08</v>
      </c>
      <c r="I3104">
        <v>0</v>
      </c>
      <c r="M3104">
        <v>0</v>
      </c>
      <c r="N3104">
        <v>4</v>
      </c>
      <c r="O3104">
        <v>0</v>
      </c>
      <c r="P3104">
        <v>29.08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0</v>
      </c>
      <c r="Y3104">
        <v>0</v>
      </c>
      <c r="Z3104">
        <v>6</v>
      </c>
      <c r="AA3104">
        <v>0</v>
      </c>
      <c r="AC3104">
        <v>35.08</v>
      </c>
    </row>
    <row r="3105" spans="1:29">
      <c r="A3105">
        <v>3098</v>
      </c>
      <c r="B3105">
        <v>2758</v>
      </c>
      <c r="C3105" t="s">
        <v>6477</v>
      </c>
      <c r="D3105" t="s">
        <v>1660</v>
      </c>
      <c r="E3105" t="s">
        <v>79</v>
      </c>
      <c r="F3105" t="s">
        <v>6478</v>
      </c>
      <c r="G3105" t="str">
        <f>"201406004313"</f>
        <v>201406004313</v>
      </c>
      <c r="H3105">
        <v>0</v>
      </c>
      <c r="I3105">
        <v>0</v>
      </c>
      <c r="M3105">
        <v>0</v>
      </c>
      <c r="N3105">
        <v>4</v>
      </c>
      <c r="O3105">
        <v>2</v>
      </c>
      <c r="P3105">
        <v>6</v>
      </c>
      <c r="Q3105">
        <v>23</v>
      </c>
      <c r="R3105">
        <v>23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23</v>
      </c>
      <c r="Z3105">
        <v>6</v>
      </c>
      <c r="AA3105">
        <v>0</v>
      </c>
      <c r="AC3105">
        <v>35</v>
      </c>
    </row>
    <row r="3106" spans="1:29">
      <c r="A3106">
        <v>3099</v>
      </c>
      <c r="B3106">
        <v>39</v>
      </c>
      <c r="C3106" t="s">
        <v>6481</v>
      </c>
      <c r="D3106" t="s">
        <v>3960</v>
      </c>
      <c r="E3106" t="s">
        <v>15</v>
      </c>
      <c r="F3106" t="s">
        <v>6482</v>
      </c>
      <c r="G3106" t="str">
        <f>"00856316"</f>
        <v>00856316</v>
      </c>
      <c r="H3106">
        <v>28</v>
      </c>
      <c r="I3106">
        <v>0</v>
      </c>
      <c r="M3106">
        <v>0</v>
      </c>
      <c r="N3106">
        <v>4</v>
      </c>
      <c r="O3106">
        <v>0</v>
      </c>
      <c r="P3106">
        <v>32</v>
      </c>
      <c r="Q3106">
        <v>0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  <c r="Y3106">
        <v>0</v>
      </c>
      <c r="Z3106">
        <v>3</v>
      </c>
      <c r="AA3106">
        <v>0</v>
      </c>
      <c r="AC3106">
        <v>35</v>
      </c>
    </row>
    <row r="3107" spans="1:29">
      <c r="A3107">
        <v>3100</v>
      </c>
      <c r="B3107">
        <v>1775</v>
      </c>
      <c r="C3107" t="s">
        <v>6479</v>
      </c>
      <c r="D3107" t="s">
        <v>336</v>
      </c>
      <c r="E3107" t="s">
        <v>79</v>
      </c>
      <c r="F3107" t="s">
        <v>6480</v>
      </c>
      <c r="G3107" t="str">
        <f>"00864878"</f>
        <v>00864878</v>
      </c>
      <c r="H3107">
        <v>28</v>
      </c>
      <c r="I3107">
        <v>0</v>
      </c>
      <c r="L3107">
        <v>4</v>
      </c>
      <c r="M3107">
        <v>4</v>
      </c>
      <c r="N3107">
        <v>0</v>
      </c>
      <c r="O3107">
        <v>0</v>
      </c>
      <c r="P3107">
        <v>32</v>
      </c>
      <c r="Q3107">
        <v>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  <c r="Y3107">
        <v>0</v>
      </c>
      <c r="Z3107">
        <v>3</v>
      </c>
      <c r="AA3107">
        <v>0</v>
      </c>
      <c r="AC3107">
        <v>35</v>
      </c>
    </row>
    <row r="3108" spans="1:29">
      <c r="A3108">
        <v>3101</v>
      </c>
      <c r="B3108">
        <v>3431</v>
      </c>
      <c r="C3108" t="s">
        <v>6483</v>
      </c>
      <c r="D3108" t="s">
        <v>185</v>
      </c>
      <c r="E3108" t="s">
        <v>36</v>
      </c>
      <c r="F3108" t="s">
        <v>6484</v>
      </c>
      <c r="G3108" t="str">
        <f>"00069237"</f>
        <v>00069237</v>
      </c>
      <c r="H3108">
        <v>17</v>
      </c>
      <c r="I3108">
        <v>10</v>
      </c>
      <c r="L3108">
        <v>4</v>
      </c>
      <c r="M3108">
        <v>4</v>
      </c>
      <c r="N3108">
        <v>4</v>
      </c>
      <c r="O3108">
        <v>0</v>
      </c>
      <c r="P3108">
        <v>35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0</v>
      </c>
      <c r="Y3108">
        <v>0</v>
      </c>
      <c r="Z3108">
        <v>0</v>
      </c>
      <c r="AA3108">
        <v>0</v>
      </c>
      <c r="AC3108">
        <v>35</v>
      </c>
    </row>
    <row r="3109" spans="1:29">
      <c r="A3109">
        <v>3102</v>
      </c>
      <c r="B3109">
        <v>4857</v>
      </c>
      <c r="C3109" t="s">
        <v>125</v>
      </c>
      <c r="D3109" t="s">
        <v>694</v>
      </c>
      <c r="E3109" t="s">
        <v>53</v>
      </c>
      <c r="F3109" t="s">
        <v>6485</v>
      </c>
      <c r="G3109" t="str">
        <f>"00608985"</f>
        <v>00608985</v>
      </c>
      <c r="H3109">
        <v>26.92</v>
      </c>
      <c r="I3109">
        <v>0</v>
      </c>
      <c r="M3109">
        <v>0</v>
      </c>
      <c r="N3109">
        <v>0</v>
      </c>
      <c r="O3109">
        <v>2</v>
      </c>
      <c r="P3109">
        <v>28.92</v>
      </c>
      <c r="Q3109">
        <v>0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0</v>
      </c>
      <c r="Z3109">
        <v>6</v>
      </c>
      <c r="AA3109">
        <v>0</v>
      </c>
      <c r="AC3109">
        <v>34.92</v>
      </c>
    </row>
    <row r="3110" spans="1:29">
      <c r="A3110">
        <v>3103</v>
      </c>
      <c r="B3110">
        <v>3630</v>
      </c>
      <c r="C3110" t="s">
        <v>3322</v>
      </c>
      <c r="D3110" t="s">
        <v>27</v>
      </c>
      <c r="E3110" t="s">
        <v>6486</v>
      </c>
      <c r="F3110" t="s">
        <v>6487</v>
      </c>
      <c r="G3110" t="str">
        <f>"00530698"</f>
        <v>00530698</v>
      </c>
      <c r="H3110">
        <v>22.92</v>
      </c>
      <c r="I3110">
        <v>0</v>
      </c>
      <c r="M3110">
        <v>0</v>
      </c>
      <c r="N3110">
        <v>4</v>
      </c>
      <c r="O3110">
        <v>2</v>
      </c>
      <c r="P3110">
        <v>28.92</v>
      </c>
      <c r="Q3110">
        <v>0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  <c r="Y3110">
        <v>0</v>
      </c>
      <c r="Z3110">
        <v>6</v>
      </c>
      <c r="AA3110">
        <v>0</v>
      </c>
      <c r="AC3110">
        <v>34.92</v>
      </c>
    </row>
    <row r="3111" spans="1:29">
      <c r="A3111">
        <v>3104</v>
      </c>
      <c r="B3111">
        <v>2104</v>
      </c>
      <c r="C3111" t="s">
        <v>4470</v>
      </c>
      <c r="D3111" t="s">
        <v>27</v>
      </c>
      <c r="E3111" t="s">
        <v>32</v>
      </c>
      <c r="F3111" t="s">
        <v>6488</v>
      </c>
      <c r="G3111" t="str">
        <f>"00862712"</f>
        <v>00862712</v>
      </c>
      <c r="H3111">
        <v>22.92</v>
      </c>
      <c r="I3111">
        <v>0</v>
      </c>
      <c r="M3111">
        <v>0</v>
      </c>
      <c r="N3111">
        <v>4</v>
      </c>
      <c r="O3111">
        <v>2</v>
      </c>
      <c r="P3111">
        <v>28.92</v>
      </c>
      <c r="Q3111">
        <v>0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0</v>
      </c>
      <c r="Z3111">
        <v>6</v>
      </c>
      <c r="AA3111">
        <v>0</v>
      </c>
      <c r="AC3111">
        <v>34.92</v>
      </c>
    </row>
    <row r="3112" spans="1:29">
      <c r="A3112">
        <v>3105</v>
      </c>
      <c r="B3112">
        <v>3418</v>
      </c>
      <c r="C3112" t="s">
        <v>490</v>
      </c>
      <c r="D3112" t="s">
        <v>179</v>
      </c>
      <c r="E3112" t="s">
        <v>18</v>
      </c>
      <c r="F3112" t="s">
        <v>6489</v>
      </c>
      <c r="G3112" t="str">
        <f>"00651093"</f>
        <v>00651093</v>
      </c>
      <c r="H3112">
        <v>30.92</v>
      </c>
      <c r="I3112">
        <v>0</v>
      </c>
      <c r="M3112">
        <v>0</v>
      </c>
      <c r="N3112">
        <v>4</v>
      </c>
      <c r="O3112">
        <v>0</v>
      </c>
      <c r="P3112">
        <v>34.92</v>
      </c>
      <c r="Q3112">
        <v>0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  <c r="Y3112">
        <v>0</v>
      </c>
      <c r="Z3112">
        <v>0</v>
      </c>
      <c r="AA3112">
        <v>0</v>
      </c>
      <c r="AC3112">
        <v>34.92</v>
      </c>
    </row>
    <row r="3113" spans="1:29">
      <c r="A3113">
        <v>3106</v>
      </c>
      <c r="B3113">
        <v>4483</v>
      </c>
      <c r="C3113" t="s">
        <v>6490</v>
      </c>
      <c r="D3113" t="s">
        <v>52</v>
      </c>
      <c r="E3113" t="s">
        <v>647</v>
      </c>
      <c r="F3113" t="s">
        <v>6491</v>
      </c>
      <c r="G3113" t="str">
        <f>"00442011"</f>
        <v>00442011</v>
      </c>
      <c r="H3113">
        <v>14.4</v>
      </c>
      <c r="I3113">
        <v>0</v>
      </c>
      <c r="L3113">
        <v>4</v>
      </c>
      <c r="M3113">
        <v>4</v>
      </c>
      <c r="N3113">
        <v>4</v>
      </c>
      <c r="O3113">
        <v>0</v>
      </c>
      <c r="P3113">
        <v>22.4</v>
      </c>
      <c r="Q3113">
        <v>5</v>
      </c>
      <c r="R3113">
        <v>5</v>
      </c>
      <c r="S3113">
        <v>0</v>
      </c>
      <c r="T3113">
        <v>0</v>
      </c>
      <c r="U3113">
        <v>3</v>
      </c>
      <c r="V3113">
        <v>4.5</v>
      </c>
      <c r="W3113">
        <v>0</v>
      </c>
      <c r="X3113">
        <v>0</v>
      </c>
      <c r="Y3113">
        <v>9.5</v>
      </c>
      <c r="Z3113">
        <v>3</v>
      </c>
      <c r="AA3113">
        <v>0</v>
      </c>
      <c r="AC3113">
        <v>34.9</v>
      </c>
    </row>
    <row r="3114" spans="1:29">
      <c r="A3114">
        <v>3107</v>
      </c>
      <c r="B3114">
        <v>830</v>
      </c>
      <c r="C3114" t="s">
        <v>6492</v>
      </c>
      <c r="D3114" t="s">
        <v>31</v>
      </c>
      <c r="E3114" t="s">
        <v>36</v>
      </c>
      <c r="F3114" t="s">
        <v>6493</v>
      </c>
      <c r="G3114" t="str">
        <f>"00684771"</f>
        <v>00684771</v>
      </c>
      <c r="H3114">
        <v>21.88</v>
      </c>
      <c r="I3114">
        <v>0</v>
      </c>
      <c r="M3114">
        <v>0</v>
      </c>
      <c r="N3114">
        <v>4</v>
      </c>
      <c r="O3114">
        <v>0</v>
      </c>
      <c r="P3114">
        <v>25.88</v>
      </c>
      <c r="Q3114">
        <v>0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  <c r="Y3114">
        <v>0</v>
      </c>
      <c r="Z3114">
        <v>9</v>
      </c>
      <c r="AA3114">
        <v>0</v>
      </c>
      <c r="AC3114">
        <v>34.880000000000003</v>
      </c>
    </row>
    <row r="3115" spans="1:29">
      <c r="A3115">
        <v>3108</v>
      </c>
      <c r="B3115">
        <v>4419</v>
      </c>
      <c r="C3115" t="s">
        <v>6494</v>
      </c>
      <c r="D3115" t="s">
        <v>69</v>
      </c>
      <c r="E3115" t="s">
        <v>1855</v>
      </c>
      <c r="F3115" t="s">
        <v>6495</v>
      </c>
      <c r="G3115" t="str">
        <f>"00859636"</f>
        <v>00859636</v>
      </c>
      <c r="H3115">
        <v>28.88</v>
      </c>
      <c r="I3115">
        <v>0</v>
      </c>
      <c r="M3115">
        <v>0</v>
      </c>
      <c r="N3115">
        <v>0</v>
      </c>
      <c r="O3115">
        <v>0</v>
      </c>
      <c r="P3115">
        <v>28.88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  <c r="Y3115">
        <v>0</v>
      </c>
      <c r="Z3115">
        <v>6</v>
      </c>
      <c r="AA3115">
        <v>0</v>
      </c>
      <c r="AC3115">
        <v>34.880000000000003</v>
      </c>
    </row>
    <row r="3116" spans="1:29">
      <c r="A3116">
        <v>3109</v>
      </c>
      <c r="B3116">
        <v>2973</v>
      </c>
      <c r="C3116" t="s">
        <v>1830</v>
      </c>
      <c r="D3116" t="s">
        <v>739</v>
      </c>
      <c r="E3116" t="s">
        <v>79</v>
      </c>
      <c r="F3116" t="s">
        <v>6496</v>
      </c>
      <c r="G3116" t="str">
        <f>"00862824"</f>
        <v>00862824</v>
      </c>
      <c r="H3116">
        <v>28.8</v>
      </c>
      <c r="I3116">
        <v>0</v>
      </c>
      <c r="M3116">
        <v>0</v>
      </c>
      <c r="N3116">
        <v>0</v>
      </c>
      <c r="O3116">
        <v>0</v>
      </c>
      <c r="P3116">
        <v>28.8</v>
      </c>
      <c r="Q3116">
        <v>0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0</v>
      </c>
      <c r="Y3116">
        <v>0</v>
      </c>
      <c r="Z3116">
        <v>6</v>
      </c>
      <c r="AA3116">
        <v>0</v>
      </c>
      <c r="AC3116">
        <v>34.799999999999997</v>
      </c>
    </row>
    <row r="3117" spans="1:29">
      <c r="A3117">
        <v>3110</v>
      </c>
      <c r="B3117">
        <v>4622</v>
      </c>
      <c r="C3117" t="s">
        <v>1905</v>
      </c>
      <c r="D3117" t="s">
        <v>164</v>
      </c>
      <c r="E3117" t="s">
        <v>28</v>
      </c>
      <c r="F3117" t="s">
        <v>6497</v>
      </c>
      <c r="G3117" t="str">
        <f>"00534259"</f>
        <v>00534259</v>
      </c>
      <c r="H3117">
        <v>34.799999999999997</v>
      </c>
      <c r="I3117">
        <v>0</v>
      </c>
      <c r="M3117">
        <v>0</v>
      </c>
      <c r="N3117">
        <v>0</v>
      </c>
      <c r="O3117">
        <v>0</v>
      </c>
      <c r="P3117">
        <v>34.799999999999997</v>
      </c>
      <c r="Q3117">
        <v>0</v>
      </c>
      <c r="R3117">
        <v>0</v>
      </c>
      <c r="S3117">
        <v>0</v>
      </c>
      <c r="T3117">
        <v>0</v>
      </c>
      <c r="U3117">
        <v>0</v>
      </c>
      <c r="V3117">
        <v>0</v>
      </c>
      <c r="W3117">
        <v>0</v>
      </c>
      <c r="X3117">
        <v>0</v>
      </c>
      <c r="Y3117">
        <v>0</v>
      </c>
      <c r="Z3117">
        <v>0</v>
      </c>
      <c r="AA3117">
        <v>0</v>
      </c>
      <c r="AC3117">
        <v>34.799999999999997</v>
      </c>
    </row>
    <row r="3118" spans="1:29">
      <c r="A3118">
        <v>3111</v>
      </c>
      <c r="B3118">
        <v>3027</v>
      </c>
      <c r="C3118" t="s">
        <v>6498</v>
      </c>
      <c r="D3118" t="s">
        <v>164</v>
      </c>
      <c r="E3118" t="s">
        <v>36</v>
      </c>
      <c r="F3118" t="s">
        <v>6499</v>
      </c>
      <c r="G3118" t="str">
        <f>"00865257"</f>
        <v>00865257</v>
      </c>
      <c r="H3118">
        <v>28.8</v>
      </c>
      <c r="I3118">
        <v>0</v>
      </c>
      <c r="L3118">
        <v>4</v>
      </c>
      <c r="M3118">
        <v>4</v>
      </c>
      <c r="N3118">
        <v>0</v>
      </c>
      <c r="O3118">
        <v>2</v>
      </c>
      <c r="P3118">
        <v>34.799999999999997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  <c r="Y3118">
        <v>0</v>
      </c>
      <c r="Z3118">
        <v>0</v>
      </c>
      <c r="AA3118">
        <v>0</v>
      </c>
      <c r="AC3118">
        <v>34.799999999999997</v>
      </c>
    </row>
    <row r="3119" spans="1:29">
      <c r="A3119">
        <v>3112</v>
      </c>
      <c r="B3119">
        <v>3743</v>
      </c>
      <c r="C3119" t="s">
        <v>6503</v>
      </c>
      <c r="D3119" t="s">
        <v>258</v>
      </c>
      <c r="E3119" t="s">
        <v>3985</v>
      </c>
      <c r="F3119" t="s">
        <v>6504</v>
      </c>
      <c r="G3119" t="str">
        <f>"00863604"</f>
        <v>00863604</v>
      </c>
      <c r="H3119">
        <v>28.8</v>
      </c>
      <c r="I3119">
        <v>0</v>
      </c>
      <c r="L3119">
        <v>4</v>
      </c>
      <c r="M3119">
        <v>4</v>
      </c>
      <c r="N3119">
        <v>0</v>
      </c>
      <c r="O3119">
        <v>2</v>
      </c>
      <c r="P3119">
        <v>34.799999999999997</v>
      </c>
      <c r="Q3119">
        <v>0</v>
      </c>
      <c r="R3119">
        <v>0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0</v>
      </c>
      <c r="Y3119">
        <v>0</v>
      </c>
      <c r="Z3119">
        <v>0</v>
      </c>
      <c r="AA3119">
        <v>0</v>
      </c>
      <c r="AC3119">
        <v>34.799999999999997</v>
      </c>
    </row>
    <row r="3120" spans="1:29">
      <c r="A3120">
        <v>3113</v>
      </c>
      <c r="B3120">
        <v>404</v>
      </c>
      <c r="C3120" t="s">
        <v>6506</v>
      </c>
      <c r="D3120" t="s">
        <v>187</v>
      </c>
      <c r="E3120" t="s">
        <v>122</v>
      </c>
      <c r="F3120" t="s">
        <v>6507</v>
      </c>
      <c r="G3120" t="str">
        <f>"00501501"</f>
        <v>00501501</v>
      </c>
      <c r="H3120">
        <v>28.8</v>
      </c>
      <c r="I3120">
        <v>0</v>
      </c>
      <c r="M3120">
        <v>0</v>
      </c>
      <c r="N3120">
        <v>4</v>
      </c>
      <c r="O3120">
        <v>2</v>
      </c>
      <c r="P3120">
        <v>34.799999999999997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  <c r="Y3120">
        <v>0</v>
      </c>
      <c r="Z3120">
        <v>0</v>
      </c>
      <c r="AA3120">
        <v>0</v>
      </c>
      <c r="AC3120">
        <v>34.799999999999997</v>
      </c>
    </row>
    <row r="3121" spans="1:29">
      <c r="A3121">
        <v>3114</v>
      </c>
      <c r="B3121">
        <v>3352</v>
      </c>
      <c r="C3121" t="s">
        <v>1823</v>
      </c>
      <c r="D3121" t="s">
        <v>739</v>
      </c>
      <c r="E3121" t="s">
        <v>436</v>
      </c>
      <c r="F3121" t="s">
        <v>6500</v>
      </c>
      <c r="G3121" t="str">
        <f>"00863282"</f>
        <v>00863282</v>
      </c>
      <c r="H3121">
        <v>28.8</v>
      </c>
      <c r="I3121">
        <v>0</v>
      </c>
      <c r="L3121">
        <v>4</v>
      </c>
      <c r="M3121">
        <v>4</v>
      </c>
      <c r="N3121">
        <v>0</v>
      </c>
      <c r="O3121">
        <v>2</v>
      </c>
      <c r="P3121">
        <v>34.799999999999997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0</v>
      </c>
      <c r="Z3121">
        <v>0</v>
      </c>
      <c r="AA3121">
        <v>0</v>
      </c>
      <c r="AC3121">
        <v>34.799999999999997</v>
      </c>
    </row>
    <row r="3122" spans="1:29">
      <c r="A3122">
        <v>3115</v>
      </c>
      <c r="B3122">
        <v>2644</v>
      </c>
      <c r="C3122" t="s">
        <v>6516</v>
      </c>
      <c r="D3122" t="s">
        <v>6517</v>
      </c>
      <c r="E3122" t="s">
        <v>36</v>
      </c>
      <c r="F3122" t="s">
        <v>6518</v>
      </c>
      <c r="G3122" t="str">
        <f>"00783092"</f>
        <v>00783092</v>
      </c>
      <c r="H3122">
        <v>28.8</v>
      </c>
      <c r="I3122">
        <v>0</v>
      </c>
      <c r="K3122">
        <v>6</v>
      </c>
      <c r="M3122">
        <v>6</v>
      </c>
      <c r="N3122">
        <v>0</v>
      </c>
      <c r="O3122">
        <v>0</v>
      </c>
      <c r="P3122">
        <v>34.799999999999997</v>
      </c>
      <c r="Q3122">
        <v>0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  <c r="Y3122">
        <v>0</v>
      </c>
      <c r="Z3122">
        <v>0</v>
      </c>
      <c r="AA3122">
        <v>0</v>
      </c>
      <c r="AC3122">
        <v>34.799999999999997</v>
      </c>
    </row>
    <row r="3123" spans="1:29">
      <c r="A3123">
        <v>3116</v>
      </c>
      <c r="B3123">
        <v>3991</v>
      </c>
      <c r="C3123" t="s">
        <v>1436</v>
      </c>
      <c r="D3123" t="s">
        <v>959</v>
      </c>
      <c r="E3123" t="s">
        <v>36</v>
      </c>
      <c r="F3123" t="s">
        <v>6505</v>
      </c>
      <c r="G3123" t="str">
        <f>"00861875"</f>
        <v>00861875</v>
      </c>
      <c r="H3123">
        <v>28.8</v>
      </c>
      <c r="I3123">
        <v>0</v>
      </c>
      <c r="K3123">
        <v>6</v>
      </c>
      <c r="M3123">
        <v>6</v>
      </c>
      <c r="N3123">
        <v>0</v>
      </c>
      <c r="O3123">
        <v>0</v>
      </c>
      <c r="P3123">
        <v>34.799999999999997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0</v>
      </c>
      <c r="Y3123">
        <v>0</v>
      </c>
      <c r="Z3123">
        <v>0</v>
      </c>
      <c r="AA3123">
        <v>0</v>
      </c>
      <c r="AC3123">
        <v>34.799999999999997</v>
      </c>
    </row>
    <row r="3124" spans="1:29">
      <c r="A3124">
        <v>3117</v>
      </c>
      <c r="B3124">
        <v>4436</v>
      </c>
      <c r="C3124" t="s">
        <v>6511</v>
      </c>
      <c r="D3124" t="s">
        <v>6512</v>
      </c>
      <c r="E3124" t="s">
        <v>134</v>
      </c>
      <c r="F3124" t="s">
        <v>6513</v>
      </c>
      <c r="G3124" t="str">
        <f>"00830565"</f>
        <v>00830565</v>
      </c>
      <c r="H3124">
        <v>28.8</v>
      </c>
      <c r="I3124">
        <v>0</v>
      </c>
      <c r="L3124">
        <v>4</v>
      </c>
      <c r="M3124">
        <v>4</v>
      </c>
      <c r="N3124">
        <v>0</v>
      </c>
      <c r="O3124">
        <v>2</v>
      </c>
      <c r="P3124">
        <v>34.799999999999997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0</v>
      </c>
      <c r="Z3124">
        <v>0</v>
      </c>
      <c r="AA3124">
        <v>0</v>
      </c>
      <c r="AC3124">
        <v>34.799999999999997</v>
      </c>
    </row>
    <row r="3125" spans="1:29">
      <c r="A3125">
        <v>3118</v>
      </c>
      <c r="B3125">
        <v>4230</v>
      </c>
      <c r="C3125" t="s">
        <v>6501</v>
      </c>
      <c r="D3125" t="s">
        <v>86</v>
      </c>
      <c r="E3125" t="s">
        <v>79</v>
      </c>
      <c r="F3125" t="s">
        <v>6502</v>
      </c>
      <c r="G3125" t="str">
        <f>"00863632"</f>
        <v>00863632</v>
      </c>
      <c r="H3125">
        <v>28.8</v>
      </c>
      <c r="I3125">
        <v>0</v>
      </c>
      <c r="L3125">
        <v>4</v>
      </c>
      <c r="M3125">
        <v>4</v>
      </c>
      <c r="N3125">
        <v>0</v>
      </c>
      <c r="O3125">
        <v>2</v>
      </c>
      <c r="P3125">
        <v>34.799999999999997</v>
      </c>
      <c r="Q3125">
        <v>0</v>
      </c>
      <c r="R3125">
        <v>0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  <c r="Y3125">
        <v>0</v>
      </c>
      <c r="Z3125">
        <v>0</v>
      </c>
      <c r="AA3125">
        <v>0</v>
      </c>
      <c r="AC3125">
        <v>34.799999999999997</v>
      </c>
    </row>
    <row r="3126" spans="1:29">
      <c r="A3126">
        <v>3119</v>
      </c>
      <c r="B3126">
        <v>1977</v>
      </c>
      <c r="C3126" t="s">
        <v>6508</v>
      </c>
      <c r="D3126" t="s">
        <v>27</v>
      </c>
      <c r="E3126" t="s">
        <v>6509</v>
      </c>
      <c r="F3126" t="s">
        <v>6510</v>
      </c>
      <c r="G3126" t="str">
        <f>"00857136"</f>
        <v>00857136</v>
      </c>
      <c r="H3126">
        <v>28.8</v>
      </c>
      <c r="I3126">
        <v>0</v>
      </c>
      <c r="M3126">
        <v>0</v>
      </c>
      <c r="N3126">
        <v>4</v>
      </c>
      <c r="O3126">
        <v>2</v>
      </c>
      <c r="P3126">
        <v>34.799999999999997</v>
      </c>
      <c r="Q3126">
        <v>0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0</v>
      </c>
      <c r="Z3126">
        <v>0</v>
      </c>
      <c r="AA3126">
        <v>0</v>
      </c>
      <c r="AC3126">
        <v>34.799999999999997</v>
      </c>
    </row>
    <row r="3127" spans="1:29">
      <c r="A3127">
        <v>3120</v>
      </c>
      <c r="B3127">
        <v>2657</v>
      </c>
      <c r="C3127" t="s">
        <v>6514</v>
      </c>
      <c r="D3127" t="s">
        <v>784</v>
      </c>
      <c r="E3127" t="s">
        <v>15</v>
      </c>
      <c r="F3127" t="s">
        <v>6515</v>
      </c>
      <c r="G3127" t="str">
        <f>"00860723"</f>
        <v>00860723</v>
      </c>
      <c r="H3127">
        <v>28.8</v>
      </c>
      <c r="I3127">
        <v>0</v>
      </c>
      <c r="M3127">
        <v>0</v>
      </c>
      <c r="N3127">
        <v>4</v>
      </c>
      <c r="O3127">
        <v>2</v>
      </c>
      <c r="P3127">
        <v>34.799999999999997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0</v>
      </c>
      <c r="Z3127">
        <v>0</v>
      </c>
      <c r="AA3127">
        <v>0</v>
      </c>
      <c r="AC3127">
        <v>34.799999999999997</v>
      </c>
    </row>
    <row r="3128" spans="1:29">
      <c r="A3128">
        <v>3121</v>
      </c>
      <c r="B3128">
        <v>1043</v>
      </c>
      <c r="C3128" t="s">
        <v>6519</v>
      </c>
      <c r="D3128" t="s">
        <v>164</v>
      </c>
      <c r="E3128" t="s">
        <v>777</v>
      </c>
      <c r="F3128" t="s">
        <v>6520</v>
      </c>
      <c r="G3128" t="str">
        <f>"00854974"</f>
        <v>00854974</v>
      </c>
      <c r="H3128">
        <v>26.8</v>
      </c>
      <c r="I3128">
        <v>0</v>
      </c>
      <c r="L3128">
        <v>4</v>
      </c>
      <c r="M3128">
        <v>4</v>
      </c>
      <c r="N3128">
        <v>4</v>
      </c>
      <c r="O3128">
        <v>0</v>
      </c>
      <c r="P3128">
        <v>34.799999999999997</v>
      </c>
      <c r="Q3128">
        <v>0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  <c r="Y3128">
        <v>0</v>
      </c>
      <c r="Z3128">
        <v>0</v>
      </c>
      <c r="AA3128">
        <v>0</v>
      </c>
      <c r="AC3128">
        <v>34.799999999999997</v>
      </c>
    </row>
    <row r="3129" spans="1:29">
      <c r="A3129">
        <v>3122</v>
      </c>
      <c r="B3129">
        <v>2131</v>
      </c>
      <c r="C3129" t="s">
        <v>6521</v>
      </c>
      <c r="D3129" t="s">
        <v>853</v>
      </c>
      <c r="E3129" t="s">
        <v>66</v>
      </c>
      <c r="F3129" t="s">
        <v>6522</v>
      </c>
      <c r="G3129" t="str">
        <f>"00864060"</f>
        <v>00864060</v>
      </c>
      <c r="H3129">
        <v>21.72</v>
      </c>
      <c r="I3129">
        <v>0</v>
      </c>
      <c r="M3129">
        <v>0</v>
      </c>
      <c r="N3129">
        <v>4</v>
      </c>
      <c r="O3129">
        <v>0</v>
      </c>
      <c r="P3129">
        <v>25.72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  <c r="Y3129">
        <v>0</v>
      </c>
      <c r="Z3129">
        <v>9</v>
      </c>
      <c r="AA3129">
        <v>0</v>
      </c>
      <c r="AC3129">
        <v>34.72</v>
      </c>
    </row>
    <row r="3130" spans="1:29">
      <c r="A3130">
        <v>3123</v>
      </c>
      <c r="B3130">
        <v>4393</v>
      </c>
      <c r="C3130" t="s">
        <v>1438</v>
      </c>
      <c r="D3130" t="s">
        <v>886</v>
      </c>
      <c r="E3130" t="s">
        <v>515</v>
      </c>
      <c r="F3130" t="s">
        <v>6525</v>
      </c>
      <c r="G3130" t="str">
        <f>"00859192"</f>
        <v>00859192</v>
      </c>
      <c r="H3130">
        <v>28.72</v>
      </c>
      <c r="I3130">
        <v>0</v>
      </c>
      <c r="M3130">
        <v>0</v>
      </c>
      <c r="N3130">
        <v>0</v>
      </c>
      <c r="O3130">
        <v>0</v>
      </c>
      <c r="P3130">
        <v>28.72</v>
      </c>
      <c r="Q3130">
        <v>0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0</v>
      </c>
      <c r="Z3130">
        <v>6</v>
      </c>
      <c r="AA3130">
        <v>0</v>
      </c>
      <c r="AC3130">
        <v>34.72</v>
      </c>
    </row>
    <row r="3131" spans="1:29">
      <c r="A3131">
        <v>3124</v>
      </c>
      <c r="B3131">
        <v>4570</v>
      </c>
      <c r="C3131" t="s">
        <v>6523</v>
      </c>
      <c r="D3131" t="s">
        <v>266</v>
      </c>
      <c r="E3131" t="s">
        <v>134</v>
      </c>
      <c r="F3131" t="s">
        <v>6524</v>
      </c>
      <c r="G3131" t="str">
        <f>"00843849"</f>
        <v>00843849</v>
      </c>
      <c r="H3131">
        <v>28.72</v>
      </c>
      <c r="I3131">
        <v>0</v>
      </c>
      <c r="M3131">
        <v>0</v>
      </c>
      <c r="N3131">
        <v>0</v>
      </c>
      <c r="O3131">
        <v>0</v>
      </c>
      <c r="P3131">
        <v>28.72</v>
      </c>
      <c r="Q3131">
        <v>0</v>
      </c>
      <c r="R3131">
        <v>0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  <c r="Y3131">
        <v>0</v>
      </c>
      <c r="Z3131">
        <v>6</v>
      </c>
      <c r="AA3131">
        <v>0</v>
      </c>
      <c r="AC3131">
        <v>34.72</v>
      </c>
    </row>
    <row r="3132" spans="1:29">
      <c r="A3132">
        <v>3125</v>
      </c>
      <c r="B3132">
        <v>744</v>
      </c>
      <c r="C3132" t="s">
        <v>6526</v>
      </c>
      <c r="D3132" t="s">
        <v>98</v>
      </c>
      <c r="E3132" t="s">
        <v>89</v>
      </c>
      <c r="F3132" t="s">
        <v>6527</v>
      </c>
      <c r="G3132" t="str">
        <f>"00771701"</f>
        <v>00771701</v>
      </c>
      <c r="H3132">
        <v>24.72</v>
      </c>
      <c r="I3132">
        <v>0</v>
      </c>
      <c r="M3132">
        <v>0</v>
      </c>
      <c r="N3132">
        <v>4</v>
      </c>
      <c r="O3132">
        <v>0</v>
      </c>
      <c r="P3132">
        <v>28.72</v>
      </c>
      <c r="Q3132">
        <v>0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0</v>
      </c>
      <c r="X3132">
        <v>0</v>
      </c>
      <c r="Y3132">
        <v>0</v>
      </c>
      <c r="Z3132">
        <v>6</v>
      </c>
      <c r="AA3132">
        <v>0</v>
      </c>
      <c r="AC3132">
        <v>34.72</v>
      </c>
    </row>
    <row r="3133" spans="1:29">
      <c r="A3133">
        <v>3126</v>
      </c>
      <c r="B3133">
        <v>25</v>
      </c>
      <c r="C3133" t="s">
        <v>3444</v>
      </c>
      <c r="D3133" t="s">
        <v>465</v>
      </c>
      <c r="E3133" t="s">
        <v>15</v>
      </c>
      <c r="F3133" t="s">
        <v>6528</v>
      </c>
      <c r="G3133" t="str">
        <f>"00506201"</f>
        <v>00506201</v>
      </c>
      <c r="H3133">
        <v>27.72</v>
      </c>
      <c r="I3133">
        <v>0</v>
      </c>
      <c r="L3133">
        <v>4</v>
      </c>
      <c r="M3133">
        <v>4</v>
      </c>
      <c r="N3133">
        <v>0</v>
      </c>
      <c r="O3133">
        <v>0</v>
      </c>
      <c r="P3133">
        <v>31.72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  <c r="Y3133">
        <v>0</v>
      </c>
      <c r="Z3133">
        <v>3</v>
      </c>
      <c r="AA3133">
        <v>0</v>
      </c>
      <c r="AC3133">
        <v>34.72</v>
      </c>
    </row>
    <row r="3134" spans="1:29">
      <c r="A3134">
        <v>3127</v>
      </c>
      <c r="B3134">
        <v>2297</v>
      </c>
      <c r="C3134" t="s">
        <v>6529</v>
      </c>
      <c r="D3134" t="s">
        <v>2378</v>
      </c>
      <c r="E3134" t="s">
        <v>79</v>
      </c>
      <c r="F3134" t="s">
        <v>6530</v>
      </c>
      <c r="G3134" t="str">
        <f>"00863186"</f>
        <v>00863186</v>
      </c>
      <c r="H3134">
        <v>32.72</v>
      </c>
      <c r="I3134">
        <v>0</v>
      </c>
      <c r="M3134">
        <v>0</v>
      </c>
      <c r="N3134">
        <v>0</v>
      </c>
      <c r="O3134">
        <v>2</v>
      </c>
      <c r="P3134">
        <v>34.72</v>
      </c>
      <c r="Q3134">
        <v>0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0</v>
      </c>
      <c r="Y3134">
        <v>0</v>
      </c>
      <c r="Z3134">
        <v>0</v>
      </c>
      <c r="AA3134">
        <v>0</v>
      </c>
      <c r="AC3134">
        <v>34.72</v>
      </c>
    </row>
    <row r="3135" spans="1:29">
      <c r="A3135">
        <v>3128</v>
      </c>
      <c r="B3135">
        <v>1236</v>
      </c>
      <c r="C3135" t="s">
        <v>6532</v>
      </c>
      <c r="D3135" t="s">
        <v>24</v>
      </c>
      <c r="E3135" t="s">
        <v>15</v>
      </c>
      <c r="F3135" t="s">
        <v>6533</v>
      </c>
      <c r="G3135" t="str">
        <f>"00712082"</f>
        <v>00712082</v>
      </c>
      <c r="H3135">
        <v>21.6</v>
      </c>
      <c r="I3135">
        <v>0</v>
      </c>
      <c r="M3135">
        <v>0</v>
      </c>
      <c r="N3135">
        <v>4</v>
      </c>
      <c r="O3135">
        <v>0</v>
      </c>
      <c r="P3135">
        <v>25.6</v>
      </c>
      <c r="Q3135">
        <v>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0</v>
      </c>
      <c r="Y3135">
        <v>0</v>
      </c>
      <c r="Z3135">
        <v>9</v>
      </c>
      <c r="AA3135">
        <v>0</v>
      </c>
      <c r="AC3135">
        <v>34.6</v>
      </c>
    </row>
    <row r="3136" spans="1:29">
      <c r="A3136">
        <v>3129</v>
      </c>
      <c r="B3136">
        <v>2276</v>
      </c>
      <c r="C3136" t="s">
        <v>1769</v>
      </c>
      <c r="D3136" t="s">
        <v>735</v>
      </c>
      <c r="E3136" t="s">
        <v>134</v>
      </c>
      <c r="F3136" t="s">
        <v>6531</v>
      </c>
      <c r="G3136" t="str">
        <f>"00856888"</f>
        <v>00856888</v>
      </c>
      <c r="H3136">
        <v>21.6</v>
      </c>
      <c r="I3136">
        <v>0</v>
      </c>
      <c r="M3136">
        <v>0</v>
      </c>
      <c r="N3136">
        <v>4</v>
      </c>
      <c r="O3136">
        <v>0</v>
      </c>
      <c r="P3136">
        <v>25.6</v>
      </c>
      <c r="Q3136">
        <v>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0</v>
      </c>
      <c r="Y3136">
        <v>0</v>
      </c>
      <c r="Z3136">
        <v>9</v>
      </c>
      <c r="AA3136">
        <v>0</v>
      </c>
      <c r="AC3136">
        <v>34.6</v>
      </c>
    </row>
    <row r="3137" spans="1:29">
      <c r="A3137">
        <v>3130</v>
      </c>
      <c r="B3137">
        <v>2432</v>
      </c>
      <c r="C3137" t="s">
        <v>6534</v>
      </c>
      <c r="D3137" t="s">
        <v>1509</v>
      </c>
      <c r="E3137" t="s">
        <v>156</v>
      </c>
      <c r="F3137" t="s">
        <v>6535</v>
      </c>
      <c r="G3137" t="str">
        <f>"00856746"</f>
        <v>00856746</v>
      </c>
      <c r="H3137">
        <v>17.600000000000001</v>
      </c>
      <c r="I3137">
        <v>0</v>
      </c>
      <c r="L3137">
        <v>4</v>
      </c>
      <c r="M3137">
        <v>4</v>
      </c>
      <c r="N3137">
        <v>4</v>
      </c>
      <c r="O3137">
        <v>0</v>
      </c>
      <c r="P3137">
        <v>25.6</v>
      </c>
      <c r="Q3137">
        <v>0</v>
      </c>
      <c r="R3137">
        <v>0</v>
      </c>
      <c r="S3137">
        <v>0</v>
      </c>
      <c r="T3137">
        <v>0</v>
      </c>
      <c r="U3137">
        <v>0</v>
      </c>
      <c r="V3137">
        <v>0</v>
      </c>
      <c r="W3137">
        <v>0</v>
      </c>
      <c r="X3137">
        <v>0</v>
      </c>
      <c r="Y3137">
        <v>0</v>
      </c>
      <c r="Z3137">
        <v>9</v>
      </c>
      <c r="AA3137">
        <v>0</v>
      </c>
      <c r="AC3137">
        <v>34.6</v>
      </c>
    </row>
    <row r="3138" spans="1:29">
      <c r="A3138">
        <v>3131</v>
      </c>
      <c r="B3138">
        <v>4510</v>
      </c>
      <c r="C3138" t="s">
        <v>6541</v>
      </c>
      <c r="D3138" t="s">
        <v>108</v>
      </c>
      <c r="E3138" t="s">
        <v>115</v>
      </c>
      <c r="F3138" t="s">
        <v>6542</v>
      </c>
      <c r="G3138" t="str">
        <f>"00570702"</f>
        <v>00570702</v>
      </c>
      <c r="H3138">
        <v>21.6</v>
      </c>
      <c r="I3138">
        <v>10</v>
      </c>
      <c r="M3138">
        <v>0</v>
      </c>
      <c r="N3138">
        <v>0</v>
      </c>
      <c r="O3138">
        <v>0</v>
      </c>
      <c r="P3138">
        <v>31.6</v>
      </c>
      <c r="Q3138">
        <v>0</v>
      </c>
      <c r="R3138">
        <v>0</v>
      </c>
      <c r="S3138">
        <v>0</v>
      </c>
      <c r="T3138">
        <v>0</v>
      </c>
      <c r="U3138">
        <v>0</v>
      </c>
      <c r="V3138">
        <v>0</v>
      </c>
      <c r="W3138">
        <v>0</v>
      </c>
      <c r="X3138">
        <v>0</v>
      </c>
      <c r="Y3138">
        <v>0</v>
      </c>
      <c r="Z3138">
        <v>3</v>
      </c>
      <c r="AA3138">
        <v>0</v>
      </c>
      <c r="AC3138">
        <v>34.6</v>
      </c>
    </row>
    <row r="3139" spans="1:29">
      <c r="A3139">
        <v>3132</v>
      </c>
      <c r="B3139">
        <v>3084</v>
      </c>
      <c r="C3139" t="s">
        <v>6536</v>
      </c>
      <c r="D3139" t="s">
        <v>6537</v>
      </c>
      <c r="E3139" t="s">
        <v>79</v>
      </c>
      <c r="F3139" t="s">
        <v>6538</v>
      </c>
      <c r="G3139" t="str">
        <f>"00725718"</f>
        <v>00725718</v>
      </c>
      <c r="H3139">
        <v>21.6</v>
      </c>
      <c r="I3139">
        <v>0</v>
      </c>
      <c r="L3139">
        <v>4</v>
      </c>
      <c r="M3139">
        <v>4</v>
      </c>
      <c r="N3139">
        <v>4</v>
      </c>
      <c r="O3139">
        <v>2</v>
      </c>
      <c r="P3139">
        <v>31.6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0</v>
      </c>
      <c r="Z3139">
        <v>3</v>
      </c>
      <c r="AA3139">
        <v>0</v>
      </c>
      <c r="AC3139">
        <v>34.6</v>
      </c>
    </row>
    <row r="3140" spans="1:29">
      <c r="A3140">
        <v>3133</v>
      </c>
      <c r="B3140">
        <v>1898</v>
      </c>
      <c r="C3140" t="s">
        <v>6539</v>
      </c>
      <c r="D3140" t="s">
        <v>205</v>
      </c>
      <c r="E3140" t="s">
        <v>50</v>
      </c>
      <c r="F3140" t="s">
        <v>6540</v>
      </c>
      <c r="G3140" t="str">
        <f>"00001867"</f>
        <v>00001867</v>
      </c>
      <c r="H3140">
        <v>21.6</v>
      </c>
      <c r="I3140">
        <v>0</v>
      </c>
      <c r="L3140">
        <v>4</v>
      </c>
      <c r="M3140">
        <v>4</v>
      </c>
      <c r="N3140">
        <v>4</v>
      </c>
      <c r="O3140">
        <v>2</v>
      </c>
      <c r="P3140">
        <v>31.6</v>
      </c>
      <c r="Q3140">
        <v>0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  <c r="Y3140">
        <v>0</v>
      </c>
      <c r="Z3140">
        <v>3</v>
      </c>
      <c r="AA3140">
        <v>0</v>
      </c>
      <c r="AC3140">
        <v>34.6</v>
      </c>
    </row>
    <row r="3141" spans="1:29">
      <c r="A3141">
        <v>3134</v>
      </c>
      <c r="B3141">
        <v>1786</v>
      </c>
      <c r="C3141" t="s">
        <v>6543</v>
      </c>
      <c r="D3141" t="s">
        <v>98</v>
      </c>
      <c r="E3141" t="s">
        <v>18</v>
      </c>
      <c r="F3141" t="s">
        <v>6544</v>
      </c>
      <c r="G3141" t="str">
        <f>"00864995"</f>
        <v>00864995</v>
      </c>
      <c r="H3141">
        <v>34.56</v>
      </c>
      <c r="I3141">
        <v>0</v>
      </c>
      <c r="M3141">
        <v>0</v>
      </c>
      <c r="N3141">
        <v>0</v>
      </c>
      <c r="O3141">
        <v>0</v>
      </c>
      <c r="P3141">
        <v>34.56</v>
      </c>
      <c r="Q3141">
        <v>0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0</v>
      </c>
      <c r="Z3141">
        <v>0</v>
      </c>
      <c r="AA3141">
        <v>0</v>
      </c>
      <c r="AC3141">
        <v>34.56</v>
      </c>
    </row>
    <row r="3142" spans="1:29">
      <c r="A3142">
        <v>3135</v>
      </c>
      <c r="B3142">
        <v>4297</v>
      </c>
      <c r="C3142" t="s">
        <v>6546</v>
      </c>
      <c r="D3142" t="s">
        <v>27</v>
      </c>
      <c r="E3142" t="s">
        <v>89</v>
      </c>
      <c r="F3142" t="s">
        <v>6547</v>
      </c>
      <c r="G3142" t="str">
        <f>"00156577"</f>
        <v>00156577</v>
      </c>
      <c r="H3142">
        <v>14.4</v>
      </c>
      <c r="I3142">
        <v>10</v>
      </c>
      <c r="L3142">
        <v>4</v>
      </c>
      <c r="M3142">
        <v>4</v>
      </c>
      <c r="N3142">
        <v>0</v>
      </c>
      <c r="O3142">
        <v>0</v>
      </c>
      <c r="P3142">
        <v>28.4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  <c r="Y3142">
        <v>0</v>
      </c>
      <c r="Z3142">
        <v>6</v>
      </c>
      <c r="AA3142">
        <v>0</v>
      </c>
      <c r="AC3142">
        <v>34.4</v>
      </c>
    </row>
    <row r="3143" spans="1:29">
      <c r="A3143">
        <v>3136</v>
      </c>
      <c r="B3143">
        <v>527</v>
      </c>
      <c r="C3143" t="s">
        <v>5132</v>
      </c>
      <c r="D3143" t="s">
        <v>1166</v>
      </c>
      <c r="E3143" t="s">
        <v>79</v>
      </c>
      <c r="F3143" t="s">
        <v>6545</v>
      </c>
      <c r="G3143" t="str">
        <f>"00791245"</f>
        <v>00791245</v>
      </c>
      <c r="H3143">
        <v>14.4</v>
      </c>
      <c r="I3143">
        <v>0</v>
      </c>
      <c r="J3143">
        <v>8</v>
      </c>
      <c r="M3143">
        <v>8</v>
      </c>
      <c r="N3143">
        <v>4</v>
      </c>
      <c r="O3143">
        <v>2</v>
      </c>
      <c r="P3143">
        <v>28.4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  <c r="Y3143">
        <v>0</v>
      </c>
      <c r="Z3143">
        <v>6</v>
      </c>
      <c r="AA3143">
        <v>0</v>
      </c>
      <c r="AC3143">
        <v>34.4</v>
      </c>
    </row>
    <row r="3144" spans="1:29">
      <c r="A3144">
        <v>3137</v>
      </c>
      <c r="B3144">
        <v>1785</v>
      </c>
      <c r="C3144" t="s">
        <v>6548</v>
      </c>
      <c r="D3144" t="s">
        <v>6549</v>
      </c>
      <c r="E3144" t="s">
        <v>227</v>
      </c>
      <c r="F3144" t="s">
        <v>6550</v>
      </c>
      <c r="G3144" t="str">
        <f>"00503670"</f>
        <v>00503670</v>
      </c>
      <c r="H3144">
        <v>14.4</v>
      </c>
      <c r="I3144">
        <v>0</v>
      </c>
      <c r="J3144">
        <v>8</v>
      </c>
      <c r="M3144">
        <v>8</v>
      </c>
      <c r="N3144">
        <v>4</v>
      </c>
      <c r="O3144">
        <v>0</v>
      </c>
      <c r="P3144">
        <v>26.4</v>
      </c>
      <c r="Q3144">
        <v>5</v>
      </c>
      <c r="R3144">
        <v>5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  <c r="Y3144">
        <v>5</v>
      </c>
      <c r="Z3144">
        <v>3</v>
      </c>
      <c r="AA3144">
        <v>0</v>
      </c>
      <c r="AC3144">
        <v>34.4</v>
      </c>
    </row>
    <row r="3145" spans="1:29">
      <c r="A3145">
        <v>3138</v>
      </c>
      <c r="B3145">
        <v>4764</v>
      </c>
      <c r="C3145" t="s">
        <v>6551</v>
      </c>
      <c r="D3145" t="s">
        <v>164</v>
      </c>
      <c r="E3145" t="s">
        <v>66</v>
      </c>
      <c r="F3145" t="s">
        <v>6552</v>
      </c>
      <c r="G3145" t="str">
        <f>"00042110"</f>
        <v>00042110</v>
      </c>
      <c r="H3145">
        <v>34.4</v>
      </c>
      <c r="I3145">
        <v>0</v>
      </c>
      <c r="M3145">
        <v>0</v>
      </c>
      <c r="N3145">
        <v>0</v>
      </c>
      <c r="O3145">
        <v>0</v>
      </c>
      <c r="P3145">
        <v>34.4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  <c r="Y3145">
        <v>0</v>
      </c>
      <c r="Z3145">
        <v>0</v>
      </c>
      <c r="AA3145">
        <v>0</v>
      </c>
      <c r="AC3145">
        <v>34.4</v>
      </c>
    </row>
    <row r="3146" spans="1:29">
      <c r="A3146">
        <v>3139</v>
      </c>
      <c r="B3146">
        <v>3049</v>
      </c>
      <c r="C3146" t="s">
        <v>6553</v>
      </c>
      <c r="D3146" t="s">
        <v>554</v>
      </c>
      <c r="E3146" t="s">
        <v>66</v>
      </c>
      <c r="F3146" t="s">
        <v>6554</v>
      </c>
      <c r="G3146" t="str">
        <f>"00553888"</f>
        <v>00553888</v>
      </c>
      <c r="H3146">
        <v>32.4</v>
      </c>
      <c r="I3146">
        <v>0</v>
      </c>
      <c r="M3146">
        <v>0</v>
      </c>
      <c r="N3146">
        <v>0</v>
      </c>
      <c r="O3146">
        <v>2</v>
      </c>
      <c r="P3146">
        <v>34.4</v>
      </c>
      <c r="Q3146">
        <v>0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  <c r="Y3146">
        <v>0</v>
      </c>
      <c r="Z3146">
        <v>0</v>
      </c>
      <c r="AA3146">
        <v>0</v>
      </c>
      <c r="AC3146">
        <v>34.4</v>
      </c>
    </row>
    <row r="3147" spans="1:29">
      <c r="A3147">
        <v>3140</v>
      </c>
      <c r="B3147">
        <v>1734</v>
      </c>
      <c r="C3147" t="s">
        <v>6555</v>
      </c>
      <c r="D3147" t="s">
        <v>24</v>
      </c>
      <c r="E3147" t="s">
        <v>3108</v>
      </c>
      <c r="F3147" t="s">
        <v>6556</v>
      </c>
      <c r="G3147" t="str">
        <f>"00553977"</f>
        <v>00553977</v>
      </c>
      <c r="H3147">
        <v>30.4</v>
      </c>
      <c r="I3147">
        <v>0</v>
      </c>
      <c r="M3147">
        <v>0</v>
      </c>
      <c r="N3147">
        <v>4</v>
      </c>
      <c r="O3147">
        <v>0</v>
      </c>
      <c r="P3147">
        <v>34.4</v>
      </c>
      <c r="Q3147">
        <v>0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0</v>
      </c>
      <c r="Z3147">
        <v>0</v>
      </c>
      <c r="AA3147">
        <v>0</v>
      </c>
      <c r="AC3147">
        <v>34.4</v>
      </c>
    </row>
    <row r="3148" spans="1:29">
      <c r="A3148">
        <v>3141</v>
      </c>
      <c r="B3148">
        <v>171</v>
      </c>
      <c r="C3148" t="s">
        <v>4234</v>
      </c>
      <c r="D3148" t="s">
        <v>27</v>
      </c>
      <c r="E3148" t="s">
        <v>36</v>
      </c>
      <c r="F3148" t="s">
        <v>6557</v>
      </c>
      <c r="G3148" t="str">
        <f>"00839362"</f>
        <v>00839362</v>
      </c>
      <c r="H3148">
        <v>26.4</v>
      </c>
      <c r="I3148">
        <v>0</v>
      </c>
      <c r="L3148">
        <v>4</v>
      </c>
      <c r="M3148">
        <v>4</v>
      </c>
      <c r="N3148">
        <v>4</v>
      </c>
      <c r="O3148">
        <v>0</v>
      </c>
      <c r="P3148">
        <v>34.4</v>
      </c>
      <c r="Q3148">
        <v>0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0</v>
      </c>
      <c r="Z3148">
        <v>0</v>
      </c>
      <c r="AA3148">
        <v>0</v>
      </c>
      <c r="AC3148">
        <v>34.4</v>
      </c>
    </row>
    <row r="3149" spans="1:29">
      <c r="A3149">
        <v>3142</v>
      </c>
      <c r="B3149">
        <v>1806</v>
      </c>
      <c r="C3149" t="s">
        <v>6558</v>
      </c>
      <c r="D3149" t="s">
        <v>5130</v>
      </c>
      <c r="E3149" t="s">
        <v>79</v>
      </c>
      <c r="F3149" t="s">
        <v>6559</v>
      </c>
      <c r="G3149" t="str">
        <f>"00644605"</f>
        <v>00644605</v>
      </c>
      <c r="H3149">
        <v>22.4</v>
      </c>
      <c r="I3149">
        <v>0</v>
      </c>
      <c r="J3149">
        <v>8</v>
      </c>
      <c r="M3149">
        <v>8</v>
      </c>
      <c r="N3149">
        <v>4</v>
      </c>
      <c r="O3149">
        <v>0</v>
      </c>
      <c r="P3149">
        <v>34.4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0</v>
      </c>
      <c r="Y3149">
        <v>0</v>
      </c>
      <c r="Z3149">
        <v>0</v>
      </c>
      <c r="AA3149">
        <v>0</v>
      </c>
      <c r="AC3149">
        <v>34.4</v>
      </c>
    </row>
    <row r="3150" spans="1:29">
      <c r="A3150">
        <v>3143</v>
      </c>
      <c r="B3150">
        <v>4077</v>
      </c>
      <c r="C3150" t="s">
        <v>6560</v>
      </c>
      <c r="D3150" t="s">
        <v>210</v>
      </c>
      <c r="E3150" t="s">
        <v>15</v>
      </c>
      <c r="F3150" t="s">
        <v>6561</v>
      </c>
      <c r="G3150" t="str">
        <f>"00531868"</f>
        <v>00531868</v>
      </c>
      <c r="H3150">
        <v>20.399999999999999</v>
      </c>
      <c r="I3150">
        <v>10</v>
      </c>
      <c r="M3150">
        <v>0</v>
      </c>
      <c r="N3150">
        <v>4</v>
      </c>
      <c r="O3150">
        <v>0</v>
      </c>
      <c r="P3150">
        <v>34.4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  <c r="Y3150">
        <v>0</v>
      </c>
      <c r="Z3150">
        <v>0</v>
      </c>
      <c r="AA3150">
        <v>0</v>
      </c>
      <c r="AC3150">
        <v>34.4</v>
      </c>
    </row>
    <row r="3151" spans="1:29">
      <c r="A3151">
        <v>3144</v>
      </c>
      <c r="B3151">
        <v>2634</v>
      </c>
      <c r="C3151" t="s">
        <v>6562</v>
      </c>
      <c r="D3151" t="s">
        <v>185</v>
      </c>
      <c r="E3151" t="s">
        <v>28</v>
      </c>
      <c r="F3151" t="s">
        <v>6563</v>
      </c>
      <c r="G3151" t="str">
        <f>"00528084"</f>
        <v>00528084</v>
      </c>
      <c r="H3151">
        <v>14.4</v>
      </c>
      <c r="I3151">
        <v>0</v>
      </c>
      <c r="L3151">
        <v>4</v>
      </c>
      <c r="M3151">
        <v>4</v>
      </c>
      <c r="N3151">
        <v>4</v>
      </c>
      <c r="O3151">
        <v>2</v>
      </c>
      <c r="P3151">
        <v>24.4</v>
      </c>
      <c r="Q3151">
        <v>10</v>
      </c>
      <c r="R3151">
        <v>10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0</v>
      </c>
      <c r="Y3151">
        <v>10</v>
      </c>
      <c r="Z3151">
        <v>0</v>
      </c>
      <c r="AA3151">
        <v>0</v>
      </c>
      <c r="AC3151">
        <v>34.4</v>
      </c>
    </row>
    <row r="3152" spans="1:29">
      <c r="A3152">
        <v>3145</v>
      </c>
      <c r="B3152">
        <v>3023</v>
      </c>
      <c r="C3152" t="s">
        <v>945</v>
      </c>
      <c r="D3152" t="s">
        <v>448</v>
      </c>
      <c r="E3152" t="s">
        <v>967</v>
      </c>
      <c r="F3152" t="s">
        <v>6564</v>
      </c>
      <c r="G3152" t="str">
        <f>"00393512"</f>
        <v>00393512</v>
      </c>
      <c r="H3152">
        <v>28.36</v>
      </c>
      <c r="I3152">
        <v>0</v>
      </c>
      <c r="M3152">
        <v>0</v>
      </c>
      <c r="N3152">
        <v>0</v>
      </c>
      <c r="O3152">
        <v>0</v>
      </c>
      <c r="P3152">
        <v>28.36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0</v>
      </c>
      <c r="Z3152">
        <v>6</v>
      </c>
      <c r="AA3152">
        <v>0</v>
      </c>
      <c r="AC3152">
        <v>34.36</v>
      </c>
    </row>
    <row r="3153" spans="1:29">
      <c r="A3153">
        <v>3146</v>
      </c>
      <c r="B3153">
        <v>2775</v>
      </c>
      <c r="C3153" t="s">
        <v>6565</v>
      </c>
      <c r="D3153" t="s">
        <v>27</v>
      </c>
      <c r="E3153" t="s">
        <v>967</v>
      </c>
      <c r="F3153" t="s">
        <v>6566</v>
      </c>
      <c r="G3153" t="str">
        <f>"00251343"</f>
        <v>00251343</v>
      </c>
      <c r="H3153">
        <v>24.36</v>
      </c>
      <c r="I3153">
        <v>0</v>
      </c>
      <c r="M3153">
        <v>0</v>
      </c>
      <c r="N3153">
        <v>4</v>
      </c>
      <c r="O3153">
        <v>0</v>
      </c>
      <c r="P3153">
        <v>28.36</v>
      </c>
      <c r="Q3153">
        <v>0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  <c r="Y3153">
        <v>0</v>
      </c>
      <c r="Z3153">
        <v>6</v>
      </c>
      <c r="AA3153">
        <v>0</v>
      </c>
      <c r="AC3153">
        <v>34.36</v>
      </c>
    </row>
    <row r="3154" spans="1:29">
      <c r="A3154">
        <v>3147</v>
      </c>
      <c r="B3154">
        <v>4873</v>
      </c>
      <c r="C3154" t="s">
        <v>3042</v>
      </c>
      <c r="D3154" t="s">
        <v>145</v>
      </c>
      <c r="E3154" t="s">
        <v>15</v>
      </c>
      <c r="F3154" t="s">
        <v>6567</v>
      </c>
      <c r="G3154" t="str">
        <f>"00866823"</f>
        <v>00866823</v>
      </c>
      <c r="H3154">
        <v>28.28</v>
      </c>
      <c r="I3154">
        <v>0</v>
      </c>
      <c r="M3154">
        <v>0</v>
      </c>
      <c r="N3154">
        <v>0</v>
      </c>
      <c r="O3154">
        <v>0</v>
      </c>
      <c r="P3154">
        <v>28.28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0</v>
      </c>
      <c r="Z3154">
        <v>6</v>
      </c>
      <c r="AA3154">
        <v>0</v>
      </c>
      <c r="AC3154">
        <v>34.28</v>
      </c>
    </row>
    <row r="3155" spans="1:29">
      <c r="A3155">
        <v>3148</v>
      </c>
      <c r="B3155">
        <v>3582</v>
      </c>
      <c r="C3155" t="s">
        <v>1952</v>
      </c>
      <c r="D3155" t="s">
        <v>20</v>
      </c>
      <c r="E3155" t="s">
        <v>36</v>
      </c>
      <c r="F3155" t="s">
        <v>6568</v>
      </c>
      <c r="G3155" t="str">
        <f>"00533138"</f>
        <v>00533138</v>
      </c>
      <c r="H3155">
        <v>16.28</v>
      </c>
      <c r="I3155">
        <v>0</v>
      </c>
      <c r="M3155">
        <v>0</v>
      </c>
      <c r="N3155">
        <v>0</v>
      </c>
      <c r="O3155">
        <v>0</v>
      </c>
      <c r="P3155">
        <v>16.28</v>
      </c>
      <c r="Q3155">
        <v>12</v>
      </c>
      <c r="R3155">
        <v>12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  <c r="Y3155">
        <v>12</v>
      </c>
      <c r="Z3155">
        <v>6</v>
      </c>
      <c r="AA3155">
        <v>0</v>
      </c>
      <c r="AC3155">
        <v>34.28</v>
      </c>
    </row>
    <row r="3156" spans="1:29">
      <c r="A3156">
        <v>3149</v>
      </c>
      <c r="B3156">
        <v>3224</v>
      </c>
      <c r="C3156" t="s">
        <v>6569</v>
      </c>
      <c r="D3156" t="s">
        <v>39</v>
      </c>
      <c r="E3156" t="s">
        <v>18</v>
      </c>
      <c r="F3156" t="s">
        <v>6570</v>
      </c>
      <c r="G3156" t="str">
        <f>"00252987"</f>
        <v>00252987</v>
      </c>
      <c r="H3156">
        <v>34.200000000000003</v>
      </c>
      <c r="I3156">
        <v>0</v>
      </c>
      <c r="M3156">
        <v>0</v>
      </c>
      <c r="N3156">
        <v>0</v>
      </c>
      <c r="O3156">
        <v>0</v>
      </c>
      <c r="P3156">
        <v>34.200000000000003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0</v>
      </c>
      <c r="Y3156">
        <v>0</v>
      </c>
      <c r="Z3156">
        <v>0</v>
      </c>
      <c r="AA3156">
        <v>0</v>
      </c>
      <c r="AC3156">
        <v>34.200000000000003</v>
      </c>
    </row>
    <row r="3157" spans="1:29">
      <c r="A3157">
        <v>3150</v>
      </c>
      <c r="B3157">
        <v>4973</v>
      </c>
      <c r="C3157" t="s">
        <v>415</v>
      </c>
      <c r="D3157" t="s">
        <v>175</v>
      </c>
      <c r="E3157" t="s">
        <v>79</v>
      </c>
      <c r="F3157" t="s">
        <v>6571</v>
      </c>
      <c r="G3157" t="str">
        <f>"00442048"</f>
        <v>00442048</v>
      </c>
      <c r="H3157">
        <v>28</v>
      </c>
      <c r="I3157">
        <v>0</v>
      </c>
      <c r="M3157">
        <v>0</v>
      </c>
      <c r="N3157">
        <v>0</v>
      </c>
      <c r="O3157">
        <v>0</v>
      </c>
      <c r="P3157">
        <v>28</v>
      </c>
      <c r="Q3157">
        <v>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  <c r="Y3157">
        <v>0</v>
      </c>
      <c r="Z3157">
        <v>6</v>
      </c>
      <c r="AA3157">
        <v>0</v>
      </c>
      <c r="AC3157">
        <v>34</v>
      </c>
    </row>
    <row r="3158" spans="1:29">
      <c r="A3158">
        <v>3151</v>
      </c>
      <c r="B3158">
        <v>3315</v>
      </c>
      <c r="C3158" t="s">
        <v>6572</v>
      </c>
      <c r="D3158" t="s">
        <v>6573</v>
      </c>
      <c r="E3158" t="s">
        <v>190</v>
      </c>
      <c r="F3158" t="s">
        <v>6574</v>
      </c>
      <c r="G3158" t="str">
        <f>"00254142"</f>
        <v>00254142</v>
      </c>
      <c r="H3158">
        <v>24</v>
      </c>
      <c r="I3158">
        <v>0</v>
      </c>
      <c r="M3158">
        <v>0</v>
      </c>
      <c r="N3158">
        <v>4</v>
      </c>
      <c r="O3158">
        <v>0</v>
      </c>
      <c r="P3158">
        <v>28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0</v>
      </c>
      <c r="Z3158">
        <v>6</v>
      </c>
      <c r="AA3158">
        <v>0</v>
      </c>
      <c r="AC3158">
        <v>34</v>
      </c>
    </row>
    <row r="3159" spans="1:29">
      <c r="A3159">
        <v>3152</v>
      </c>
      <c r="B3159">
        <v>2424</v>
      </c>
      <c r="C3159" t="s">
        <v>6577</v>
      </c>
      <c r="D3159" t="s">
        <v>1577</v>
      </c>
      <c r="E3159" t="s">
        <v>28</v>
      </c>
      <c r="F3159" t="s">
        <v>6578</v>
      </c>
      <c r="G3159" t="str">
        <f>"00383902"</f>
        <v>00383902</v>
      </c>
      <c r="H3159">
        <v>34</v>
      </c>
      <c r="I3159">
        <v>0</v>
      </c>
      <c r="M3159">
        <v>0</v>
      </c>
      <c r="N3159">
        <v>0</v>
      </c>
      <c r="O3159">
        <v>0</v>
      </c>
      <c r="P3159">
        <v>34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  <c r="Y3159">
        <v>0</v>
      </c>
      <c r="Z3159">
        <v>0</v>
      </c>
      <c r="AA3159">
        <v>0</v>
      </c>
      <c r="AC3159">
        <v>34</v>
      </c>
    </row>
    <row r="3160" spans="1:29">
      <c r="A3160">
        <v>3153</v>
      </c>
      <c r="B3160">
        <v>865</v>
      </c>
      <c r="C3160" t="s">
        <v>6575</v>
      </c>
      <c r="D3160" t="s">
        <v>31</v>
      </c>
      <c r="E3160" t="s">
        <v>60</v>
      </c>
      <c r="F3160" t="s">
        <v>6576</v>
      </c>
      <c r="G3160" t="str">
        <f>"00854469"</f>
        <v>00854469</v>
      </c>
      <c r="H3160">
        <v>34</v>
      </c>
      <c r="I3160">
        <v>0</v>
      </c>
      <c r="M3160">
        <v>0</v>
      </c>
      <c r="N3160">
        <v>0</v>
      </c>
      <c r="O3160">
        <v>0</v>
      </c>
      <c r="P3160">
        <v>34</v>
      </c>
      <c r="Q3160">
        <v>0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  <c r="Y3160">
        <v>0</v>
      </c>
      <c r="Z3160">
        <v>0</v>
      </c>
      <c r="AA3160">
        <v>0</v>
      </c>
      <c r="AC3160">
        <v>34</v>
      </c>
    </row>
    <row r="3161" spans="1:29">
      <c r="A3161">
        <v>3154</v>
      </c>
      <c r="B3161">
        <v>3469</v>
      </c>
      <c r="C3161" t="s">
        <v>6579</v>
      </c>
      <c r="D3161" t="s">
        <v>6580</v>
      </c>
      <c r="E3161" t="s">
        <v>122</v>
      </c>
      <c r="F3161" t="s">
        <v>6581</v>
      </c>
      <c r="G3161" t="str">
        <f>"00507310"</f>
        <v>00507310</v>
      </c>
      <c r="H3161">
        <v>0</v>
      </c>
      <c r="I3161">
        <v>0</v>
      </c>
      <c r="L3161">
        <v>4</v>
      </c>
      <c r="M3161">
        <v>4</v>
      </c>
      <c r="N3161">
        <v>4</v>
      </c>
      <c r="O3161">
        <v>2</v>
      </c>
      <c r="P3161">
        <v>10</v>
      </c>
      <c r="Q3161">
        <v>24</v>
      </c>
      <c r="R3161">
        <v>24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24</v>
      </c>
      <c r="Z3161">
        <v>0</v>
      </c>
      <c r="AA3161">
        <v>0</v>
      </c>
      <c r="AC3161">
        <v>34</v>
      </c>
    </row>
    <row r="3162" spans="1:29">
      <c r="A3162">
        <v>3155</v>
      </c>
      <c r="B3162">
        <v>2231</v>
      </c>
      <c r="C3162" t="s">
        <v>6582</v>
      </c>
      <c r="D3162" t="s">
        <v>2608</v>
      </c>
      <c r="E3162" t="s">
        <v>6583</v>
      </c>
      <c r="F3162" t="s">
        <v>6584</v>
      </c>
      <c r="G3162" t="str">
        <f>"00689339"</f>
        <v>00689339</v>
      </c>
      <c r="H3162">
        <v>25.84</v>
      </c>
      <c r="I3162">
        <v>0</v>
      </c>
      <c r="L3162">
        <v>4</v>
      </c>
      <c r="M3162">
        <v>4</v>
      </c>
      <c r="N3162">
        <v>4</v>
      </c>
      <c r="O3162">
        <v>0</v>
      </c>
      <c r="P3162">
        <v>33.840000000000003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  <c r="Y3162">
        <v>0</v>
      </c>
      <c r="Z3162">
        <v>0</v>
      </c>
      <c r="AA3162">
        <v>0</v>
      </c>
      <c r="AC3162">
        <v>33.840000000000003</v>
      </c>
    </row>
    <row r="3163" spans="1:29">
      <c r="A3163">
        <v>3156</v>
      </c>
      <c r="B3163">
        <v>4427</v>
      </c>
      <c r="C3163" t="s">
        <v>5042</v>
      </c>
      <c r="D3163" t="s">
        <v>248</v>
      </c>
      <c r="E3163" t="s">
        <v>224</v>
      </c>
      <c r="F3163" t="s">
        <v>6585</v>
      </c>
      <c r="G3163" t="str">
        <f>"00530657"</f>
        <v>00530657</v>
      </c>
      <c r="H3163">
        <v>32.799999999999997</v>
      </c>
      <c r="I3163">
        <v>0</v>
      </c>
      <c r="M3163">
        <v>0</v>
      </c>
      <c r="N3163">
        <v>0</v>
      </c>
      <c r="O3163">
        <v>0</v>
      </c>
      <c r="P3163">
        <v>32.799999999999997</v>
      </c>
      <c r="Q3163">
        <v>1</v>
      </c>
      <c r="R3163">
        <v>1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  <c r="Y3163">
        <v>1</v>
      </c>
      <c r="Z3163">
        <v>0</v>
      </c>
      <c r="AA3163">
        <v>0</v>
      </c>
      <c r="AC3163">
        <v>33.799999999999997</v>
      </c>
    </row>
    <row r="3164" spans="1:29">
      <c r="A3164">
        <v>3157</v>
      </c>
      <c r="B3164">
        <v>727</v>
      </c>
      <c r="C3164" t="s">
        <v>6586</v>
      </c>
      <c r="D3164" t="s">
        <v>39</v>
      </c>
      <c r="E3164" t="s">
        <v>3719</v>
      </c>
      <c r="F3164" t="s">
        <v>6587</v>
      </c>
      <c r="G3164" t="str">
        <f>"00523167"</f>
        <v>00523167</v>
      </c>
      <c r="H3164">
        <v>28.8</v>
      </c>
      <c r="I3164">
        <v>0</v>
      </c>
      <c r="L3164">
        <v>4</v>
      </c>
      <c r="M3164">
        <v>4</v>
      </c>
      <c r="N3164">
        <v>0</v>
      </c>
      <c r="O3164">
        <v>0</v>
      </c>
      <c r="P3164">
        <v>32.799999999999997</v>
      </c>
      <c r="Q3164">
        <v>1</v>
      </c>
      <c r="R3164">
        <v>1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  <c r="Y3164">
        <v>1</v>
      </c>
      <c r="Z3164">
        <v>0</v>
      </c>
      <c r="AA3164">
        <v>0</v>
      </c>
      <c r="AC3164">
        <v>33.799999999999997</v>
      </c>
    </row>
    <row r="3165" spans="1:29">
      <c r="A3165">
        <v>3158</v>
      </c>
      <c r="B3165">
        <v>4366</v>
      </c>
      <c r="C3165" t="s">
        <v>6588</v>
      </c>
      <c r="D3165" t="s">
        <v>248</v>
      </c>
      <c r="E3165" t="s">
        <v>165</v>
      </c>
      <c r="F3165" t="s">
        <v>6589</v>
      </c>
      <c r="G3165" t="str">
        <f>"201511012456"</f>
        <v>201511012456</v>
      </c>
      <c r="H3165">
        <v>16.8</v>
      </c>
      <c r="I3165">
        <v>10</v>
      </c>
      <c r="M3165">
        <v>0</v>
      </c>
      <c r="N3165">
        <v>4</v>
      </c>
      <c r="O3165">
        <v>0</v>
      </c>
      <c r="P3165">
        <v>30.8</v>
      </c>
      <c r="Q3165">
        <v>3</v>
      </c>
      <c r="R3165">
        <v>3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  <c r="Y3165">
        <v>3</v>
      </c>
      <c r="Z3165">
        <v>0</v>
      </c>
      <c r="AA3165">
        <v>0</v>
      </c>
      <c r="AC3165">
        <v>33.799999999999997</v>
      </c>
    </row>
    <row r="3166" spans="1:29">
      <c r="A3166">
        <v>3159</v>
      </c>
      <c r="B3166">
        <v>1498</v>
      </c>
      <c r="C3166" t="s">
        <v>6590</v>
      </c>
      <c r="D3166" t="s">
        <v>210</v>
      </c>
      <c r="E3166" t="s">
        <v>6591</v>
      </c>
      <c r="F3166" t="s">
        <v>6592</v>
      </c>
      <c r="G3166" t="str">
        <f>"00141541"</f>
        <v>00141541</v>
      </c>
      <c r="H3166">
        <v>22.8</v>
      </c>
      <c r="I3166">
        <v>0</v>
      </c>
      <c r="M3166">
        <v>0</v>
      </c>
      <c r="N3166">
        <v>0</v>
      </c>
      <c r="O3166">
        <v>0</v>
      </c>
      <c r="P3166">
        <v>22.8</v>
      </c>
      <c r="Q3166">
        <v>11</v>
      </c>
      <c r="R3166">
        <v>11</v>
      </c>
      <c r="S3166">
        <v>0</v>
      </c>
      <c r="T3166">
        <v>0</v>
      </c>
      <c r="U3166">
        <v>0</v>
      </c>
      <c r="V3166">
        <v>0</v>
      </c>
      <c r="W3166">
        <v>0</v>
      </c>
      <c r="X3166">
        <v>0</v>
      </c>
      <c r="Y3166">
        <v>11</v>
      </c>
      <c r="Z3166">
        <v>0</v>
      </c>
      <c r="AA3166">
        <v>0</v>
      </c>
      <c r="AC3166">
        <v>33.799999999999997</v>
      </c>
    </row>
    <row r="3167" spans="1:29">
      <c r="A3167">
        <v>3160</v>
      </c>
      <c r="B3167">
        <v>1598</v>
      </c>
      <c r="C3167" t="s">
        <v>6593</v>
      </c>
      <c r="D3167" t="s">
        <v>2802</v>
      </c>
      <c r="E3167" t="s">
        <v>28</v>
      </c>
      <c r="F3167" t="s">
        <v>6594</v>
      </c>
      <c r="G3167" t="str">
        <f>"00532870"</f>
        <v>00532870</v>
      </c>
      <c r="H3167">
        <v>13.72</v>
      </c>
      <c r="I3167">
        <v>0</v>
      </c>
      <c r="M3167">
        <v>0</v>
      </c>
      <c r="N3167">
        <v>4</v>
      </c>
      <c r="O3167">
        <v>2</v>
      </c>
      <c r="P3167">
        <v>19.72</v>
      </c>
      <c r="Q3167">
        <v>11</v>
      </c>
      <c r="R3167">
        <v>11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11</v>
      </c>
      <c r="Z3167">
        <v>3</v>
      </c>
      <c r="AA3167">
        <v>0</v>
      </c>
      <c r="AC3167">
        <v>33.72</v>
      </c>
    </row>
    <row r="3168" spans="1:29">
      <c r="A3168">
        <v>3161</v>
      </c>
      <c r="B3168">
        <v>374</v>
      </c>
      <c r="C3168" t="s">
        <v>6595</v>
      </c>
      <c r="D3168" t="s">
        <v>205</v>
      </c>
      <c r="E3168" t="s">
        <v>3453</v>
      </c>
      <c r="F3168" t="s">
        <v>6596</v>
      </c>
      <c r="G3168" t="str">
        <f>"00215438"</f>
        <v>00215438</v>
      </c>
      <c r="H3168">
        <v>27.64</v>
      </c>
      <c r="I3168">
        <v>0</v>
      </c>
      <c r="M3168">
        <v>0</v>
      </c>
      <c r="N3168">
        <v>0</v>
      </c>
      <c r="O3168">
        <v>0</v>
      </c>
      <c r="P3168">
        <v>27.64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0</v>
      </c>
      <c r="Z3168">
        <v>6</v>
      </c>
      <c r="AA3168">
        <v>0</v>
      </c>
      <c r="AC3168">
        <v>33.64</v>
      </c>
    </row>
    <row r="3169" spans="1:29">
      <c r="A3169">
        <v>3162</v>
      </c>
      <c r="B3169">
        <v>609</v>
      </c>
      <c r="C3169" t="s">
        <v>5598</v>
      </c>
      <c r="D3169" t="s">
        <v>185</v>
      </c>
      <c r="E3169" t="s">
        <v>53</v>
      </c>
      <c r="F3169" t="s">
        <v>6597</v>
      </c>
      <c r="G3169" t="str">
        <f>"00186968"</f>
        <v>00186968</v>
      </c>
      <c r="H3169">
        <v>21.6</v>
      </c>
      <c r="I3169">
        <v>0</v>
      </c>
      <c r="M3169">
        <v>0</v>
      </c>
      <c r="N3169">
        <v>4</v>
      </c>
      <c r="O3169">
        <v>2</v>
      </c>
      <c r="P3169">
        <v>27.6</v>
      </c>
      <c r="Q3169">
        <v>0</v>
      </c>
      <c r="R3169">
        <v>0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0</v>
      </c>
      <c r="Y3169">
        <v>0</v>
      </c>
      <c r="Z3169">
        <v>6</v>
      </c>
      <c r="AA3169">
        <v>0</v>
      </c>
      <c r="AC3169">
        <v>33.6</v>
      </c>
    </row>
    <row r="3170" spans="1:29">
      <c r="A3170">
        <v>3163</v>
      </c>
      <c r="B3170">
        <v>531</v>
      </c>
      <c r="C3170" t="s">
        <v>911</v>
      </c>
      <c r="D3170" t="s">
        <v>95</v>
      </c>
      <c r="E3170" t="s">
        <v>5091</v>
      </c>
      <c r="F3170" t="s">
        <v>6606</v>
      </c>
      <c r="G3170" t="str">
        <f>"00713820"</f>
        <v>00713820</v>
      </c>
      <c r="H3170">
        <v>33.6</v>
      </c>
      <c r="I3170">
        <v>0</v>
      </c>
      <c r="M3170">
        <v>0</v>
      </c>
      <c r="N3170">
        <v>0</v>
      </c>
      <c r="O3170">
        <v>0</v>
      </c>
      <c r="P3170">
        <v>33.6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  <c r="Y3170">
        <v>0</v>
      </c>
      <c r="Z3170">
        <v>0</v>
      </c>
      <c r="AA3170">
        <v>0</v>
      </c>
      <c r="AC3170">
        <v>33.6</v>
      </c>
    </row>
    <row r="3171" spans="1:29">
      <c r="A3171">
        <v>3164</v>
      </c>
      <c r="B3171">
        <v>2136</v>
      </c>
      <c r="C3171" t="s">
        <v>6598</v>
      </c>
      <c r="D3171" t="s">
        <v>170</v>
      </c>
      <c r="E3171" t="s">
        <v>1223</v>
      </c>
      <c r="F3171" t="s">
        <v>6599</v>
      </c>
      <c r="G3171" t="str">
        <f>"00647264"</f>
        <v>00647264</v>
      </c>
      <c r="H3171">
        <v>33.6</v>
      </c>
      <c r="I3171">
        <v>0</v>
      </c>
      <c r="M3171">
        <v>0</v>
      </c>
      <c r="N3171">
        <v>0</v>
      </c>
      <c r="O3171">
        <v>0</v>
      </c>
      <c r="P3171">
        <v>33.6</v>
      </c>
      <c r="Q3171">
        <v>0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  <c r="Y3171">
        <v>0</v>
      </c>
      <c r="Z3171">
        <v>0</v>
      </c>
      <c r="AA3171">
        <v>0</v>
      </c>
      <c r="AC3171">
        <v>33.6</v>
      </c>
    </row>
    <row r="3172" spans="1:29">
      <c r="A3172">
        <v>3165</v>
      </c>
      <c r="B3172">
        <v>3121</v>
      </c>
      <c r="C3172" t="s">
        <v>6464</v>
      </c>
      <c r="D3172" t="s">
        <v>6602</v>
      </c>
      <c r="E3172" t="s">
        <v>6603</v>
      </c>
      <c r="F3172" t="s">
        <v>6604</v>
      </c>
      <c r="G3172" t="str">
        <f>"00861825"</f>
        <v>00861825</v>
      </c>
      <c r="H3172">
        <v>33.6</v>
      </c>
      <c r="I3172">
        <v>0</v>
      </c>
      <c r="M3172">
        <v>0</v>
      </c>
      <c r="N3172">
        <v>0</v>
      </c>
      <c r="O3172">
        <v>0</v>
      </c>
      <c r="P3172">
        <v>33.6</v>
      </c>
      <c r="Q3172">
        <v>0</v>
      </c>
      <c r="R3172">
        <v>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0</v>
      </c>
      <c r="Z3172">
        <v>0</v>
      </c>
      <c r="AA3172">
        <v>0</v>
      </c>
      <c r="AC3172">
        <v>33.6</v>
      </c>
    </row>
    <row r="3173" spans="1:29">
      <c r="A3173">
        <v>3166</v>
      </c>
      <c r="B3173">
        <v>3421</v>
      </c>
      <c r="C3173" t="s">
        <v>6600</v>
      </c>
      <c r="D3173" t="s">
        <v>27</v>
      </c>
      <c r="E3173" t="s">
        <v>134</v>
      </c>
      <c r="F3173" t="s">
        <v>6601</v>
      </c>
      <c r="G3173" t="str">
        <f>"00865075"</f>
        <v>00865075</v>
      </c>
      <c r="H3173">
        <v>33.6</v>
      </c>
      <c r="I3173">
        <v>0</v>
      </c>
      <c r="M3173">
        <v>0</v>
      </c>
      <c r="N3173">
        <v>0</v>
      </c>
      <c r="O3173">
        <v>0</v>
      </c>
      <c r="P3173">
        <v>33.6</v>
      </c>
      <c r="Q3173">
        <v>0</v>
      </c>
      <c r="R3173">
        <v>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0</v>
      </c>
      <c r="Y3173">
        <v>0</v>
      </c>
      <c r="Z3173">
        <v>0</v>
      </c>
      <c r="AA3173">
        <v>0</v>
      </c>
      <c r="AC3173">
        <v>33.6</v>
      </c>
    </row>
    <row r="3174" spans="1:29">
      <c r="A3174">
        <v>3167</v>
      </c>
      <c r="B3174">
        <v>590</v>
      </c>
      <c r="C3174" t="s">
        <v>91</v>
      </c>
      <c r="D3174" t="s">
        <v>210</v>
      </c>
      <c r="E3174" t="s">
        <v>36</v>
      </c>
      <c r="F3174" t="s">
        <v>6605</v>
      </c>
      <c r="G3174" t="str">
        <f>"00651609"</f>
        <v>00651609</v>
      </c>
      <c r="H3174">
        <v>33.6</v>
      </c>
      <c r="I3174">
        <v>0</v>
      </c>
      <c r="M3174">
        <v>0</v>
      </c>
      <c r="N3174">
        <v>0</v>
      </c>
      <c r="O3174">
        <v>0</v>
      </c>
      <c r="P3174">
        <v>33.6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  <c r="Y3174">
        <v>0</v>
      </c>
      <c r="Z3174">
        <v>0</v>
      </c>
      <c r="AA3174">
        <v>0</v>
      </c>
      <c r="AC3174">
        <v>33.6</v>
      </c>
    </row>
    <row r="3175" spans="1:29">
      <c r="A3175">
        <v>3168</v>
      </c>
      <c r="B3175">
        <v>3856</v>
      </c>
      <c r="C3175" t="s">
        <v>5044</v>
      </c>
      <c r="D3175" t="s">
        <v>473</v>
      </c>
      <c r="E3175" t="s">
        <v>6607</v>
      </c>
      <c r="F3175" t="s">
        <v>6608</v>
      </c>
      <c r="G3175" t="str">
        <f>"00854489"</f>
        <v>00854489</v>
      </c>
      <c r="H3175">
        <v>29.6</v>
      </c>
      <c r="I3175">
        <v>0</v>
      </c>
      <c r="L3175">
        <v>4</v>
      </c>
      <c r="M3175">
        <v>4</v>
      </c>
      <c r="N3175">
        <v>0</v>
      </c>
      <c r="O3175">
        <v>0</v>
      </c>
      <c r="P3175">
        <v>33.6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  <c r="Y3175">
        <v>0</v>
      </c>
      <c r="Z3175">
        <v>0</v>
      </c>
      <c r="AA3175">
        <v>0</v>
      </c>
      <c r="AC3175">
        <v>33.6</v>
      </c>
    </row>
    <row r="3176" spans="1:29">
      <c r="A3176">
        <v>3169</v>
      </c>
      <c r="B3176">
        <v>2933</v>
      </c>
      <c r="C3176" t="s">
        <v>6609</v>
      </c>
      <c r="D3176" t="s">
        <v>6610</v>
      </c>
      <c r="E3176" t="s">
        <v>156</v>
      </c>
      <c r="F3176" t="s">
        <v>6611</v>
      </c>
      <c r="G3176" t="str">
        <f>"00553335"</f>
        <v>00553335</v>
      </c>
      <c r="H3176">
        <v>23.6</v>
      </c>
      <c r="I3176">
        <v>0</v>
      </c>
      <c r="L3176">
        <v>4</v>
      </c>
      <c r="M3176">
        <v>4</v>
      </c>
      <c r="N3176">
        <v>4</v>
      </c>
      <c r="O3176">
        <v>2</v>
      </c>
      <c r="P3176">
        <v>33.6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0</v>
      </c>
      <c r="Z3176">
        <v>0</v>
      </c>
      <c r="AA3176">
        <v>0</v>
      </c>
      <c r="AC3176">
        <v>33.6</v>
      </c>
    </row>
    <row r="3177" spans="1:29">
      <c r="A3177">
        <v>3170</v>
      </c>
      <c r="B3177">
        <v>3321</v>
      </c>
      <c r="C3177" t="s">
        <v>6612</v>
      </c>
      <c r="D3177" t="s">
        <v>95</v>
      </c>
      <c r="E3177" t="s">
        <v>122</v>
      </c>
      <c r="F3177" t="s">
        <v>6613</v>
      </c>
      <c r="G3177" t="str">
        <f>"00507767"</f>
        <v>00507767</v>
      </c>
      <c r="H3177">
        <v>21.6</v>
      </c>
      <c r="I3177">
        <v>0</v>
      </c>
      <c r="J3177">
        <v>8</v>
      </c>
      <c r="M3177">
        <v>8</v>
      </c>
      <c r="N3177">
        <v>4</v>
      </c>
      <c r="O3177">
        <v>0</v>
      </c>
      <c r="P3177">
        <v>33.6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0</v>
      </c>
      <c r="Z3177">
        <v>0</v>
      </c>
      <c r="AA3177">
        <v>0</v>
      </c>
      <c r="AC3177">
        <v>33.6</v>
      </c>
    </row>
    <row r="3178" spans="1:29">
      <c r="A3178">
        <v>3171</v>
      </c>
      <c r="B3178">
        <v>852</v>
      </c>
      <c r="C3178" t="s">
        <v>2969</v>
      </c>
      <c r="D3178" t="s">
        <v>6537</v>
      </c>
      <c r="E3178" t="s">
        <v>79</v>
      </c>
      <c r="F3178" t="s">
        <v>6614</v>
      </c>
      <c r="G3178" t="str">
        <f>"00859036"</f>
        <v>00859036</v>
      </c>
      <c r="H3178">
        <v>21.6</v>
      </c>
      <c r="I3178">
        <v>0</v>
      </c>
      <c r="J3178">
        <v>8</v>
      </c>
      <c r="M3178">
        <v>8</v>
      </c>
      <c r="N3178">
        <v>4</v>
      </c>
      <c r="O3178">
        <v>0</v>
      </c>
      <c r="P3178">
        <v>33.6</v>
      </c>
      <c r="Q3178">
        <v>0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0</v>
      </c>
      <c r="Y3178">
        <v>0</v>
      </c>
      <c r="Z3178">
        <v>0</v>
      </c>
      <c r="AA3178">
        <v>0</v>
      </c>
      <c r="AC3178">
        <v>33.6</v>
      </c>
    </row>
    <row r="3179" spans="1:29">
      <c r="A3179">
        <v>3172</v>
      </c>
      <c r="B3179">
        <v>893</v>
      </c>
      <c r="C3179" t="s">
        <v>6615</v>
      </c>
      <c r="D3179" t="s">
        <v>510</v>
      </c>
      <c r="E3179" t="s">
        <v>122</v>
      </c>
      <c r="F3179" t="s">
        <v>6616</v>
      </c>
      <c r="G3179" t="str">
        <f>"00527927"</f>
        <v>00527927</v>
      </c>
      <c r="H3179">
        <v>30.52</v>
      </c>
      <c r="I3179">
        <v>0</v>
      </c>
      <c r="M3179">
        <v>0</v>
      </c>
      <c r="N3179">
        <v>0</v>
      </c>
      <c r="O3179">
        <v>0</v>
      </c>
      <c r="P3179">
        <v>30.52</v>
      </c>
      <c r="Q3179">
        <v>0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0</v>
      </c>
      <c r="X3179">
        <v>0</v>
      </c>
      <c r="Y3179">
        <v>0</v>
      </c>
      <c r="Z3179">
        <v>3</v>
      </c>
      <c r="AA3179">
        <v>0</v>
      </c>
      <c r="AC3179">
        <v>33.520000000000003</v>
      </c>
    </row>
    <row r="3180" spans="1:29">
      <c r="A3180">
        <v>3173</v>
      </c>
      <c r="B3180">
        <v>176</v>
      </c>
      <c r="C3180" t="s">
        <v>6617</v>
      </c>
      <c r="D3180" t="s">
        <v>175</v>
      </c>
      <c r="E3180" t="s">
        <v>18</v>
      </c>
      <c r="F3180" t="s">
        <v>6618</v>
      </c>
      <c r="G3180" t="str">
        <f>"00858178"</f>
        <v>00858178</v>
      </c>
      <c r="H3180">
        <v>27.48</v>
      </c>
      <c r="I3180">
        <v>0</v>
      </c>
      <c r="M3180">
        <v>0</v>
      </c>
      <c r="N3180">
        <v>0</v>
      </c>
      <c r="O3180">
        <v>0</v>
      </c>
      <c r="P3180">
        <v>27.48</v>
      </c>
      <c r="Q3180">
        <v>0</v>
      </c>
      <c r="R3180">
        <v>0</v>
      </c>
      <c r="S3180">
        <v>0</v>
      </c>
      <c r="T3180">
        <v>0</v>
      </c>
      <c r="U3180">
        <v>0</v>
      </c>
      <c r="V3180">
        <v>0</v>
      </c>
      <c r="W3180">
        <v>0</v>
      </c>
      <c r="X3180">
        <v>0</v>
      </c>
      <c r="Y3180">
        <v>0</v>
      </c>
      <c r="Z3180">
        <v>6</v>
      </c>
      <c r="AA3180">
        <v>0</v>
      </c>
      <c r="AC3180">
        <v>33.479999999999997</v>
      </c>
    </row>
    <row r="3181" spans="1:29">
      <c r="A3181">
        <v>3174</v>
      </c>
      <c r="B3181">
        <v>64</v>
      </c>
      <c r="C3181" t="s">
        <v>6619</v>
      </c>
      <c r="D3181" t="s">
        <v>832</v>
      </c>
      <c r="E3181" t="s">
        <v>15</v>
      </c>
      <c r="F3181" t="s">
        <v>6620</v>
      </c>
      <c r="G3181" t="str">
        <f>"00836320"</f>
        <v>00836320</v>
      </c>
      <c r="H3181">
        <v>27.4</v>
      </c>
      <c r="I3181">
        <v>0</v>
      </c>
      <c r="M3181">
        <v>0</v>
      </c>
      <c r="N3181">
        <v>0</v>
      </c>
      <c r="O3181">
        <v>0</v>
      </c>
      <c r="P3181">
        <v>27.4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0</v>
      </c>
      <c r="Z3181">
        <v>6</v>
      </c>
      <c r="AA3181">
        <v>0</v>
      </c>
      <c r="AC3181">
        <v>33.4</v>
      </c>
    </row>
    <row r="3182" spans="1:29">
      <c r="A3182">
        <v>3175</v>
      </c>
      <c r="B3182">
        <v>1036</v>
      </c>
      <c r="C3182" t="s">
        <v>6621</v>
      </c>
      <c r="D3182" t="s">
        <v>86</v>
      </c>
      <c r="E3182" t="s">
        <v>18</v>
      </c>
      <c r="F3182" t="s">
        <v>6622</v>
      </c>
      <c r="G3182" t="str">
        <f>"00489268"</f>
        <v>00489268</v>
      </c>
      <c r="H3182">
        <v>14.4</v>
      </c>
      <c r="I3182">
        <v>0</v>
      </c>
      <c r="M3182">
        <v>0</v>
      </c>
      <c r="N3182">
        <v>4</v>
      </c>
      <c r="O3182">
        <v>0</v>
      </c>
      <c r="P3182">
        <v>18.399999999999999</v>
      </c>
      <c r="Q3182">
        <v>12</v>
      </c>
      <c r="R3182">
        <v>12</v>
      </c>
      <c r="S3182">
        <v>0</v>
      </c>
      <c r="T3182">
        <v>0</v>
      </c>
      <c r="U3182">
        <v>0</v>
      </c>
      <c r="V3182">
        <v>0</v>
      </c>
      <c r="W3182">
        <v>0</v>
      </c>
      <c r="X3182">
        <v>0</v>
      </c>
      <c r="Y3182">
        <v>12</v>
      </c>
      <c r="Z3182">
        <v>3</v>
      </c>
      <c r="AA3182">
        <v>0</v>
      </c>
      <c r="AC3182">
        <v>33.4</v>
      </c>
    </row>
    <row r="3183" spans="1:29">
      <c r="A3183">
        <v>3176</v>
      </c>
      <c r="B3183">
        <v>1252</v>
      </c>
      <c r="C3183" t="s">
        <v>6623</v>
      </c>
      <c r="D3183" t="s">
        <v>164</v>
      </c>
      <c r="E3183" t="s">
        <v>79</v>
      </c>
      <c r="F3183" t="s">
        <v>6624</v>
      </c>
      <c r="G3183" t="str">
        <f>"00530296"</f>
        <v>00530296</v>
      </c>
      <c r="H3183">
        <v>14.4</v>
      </c>
      <c r="I3183">
        <v>0</v>
      </c>
      <c r="J3183">
        <v>8</v>
      </c>
      <c r="M3183">
        <v>8</v>
      </c>
      <c r="N3183">
        <v>4</v>
      </c>
      <c r="O3183">
        <v>2</v>
      </c>
      <c r="P3183">
        <v>28.4</v>
      </c>
      <c r="Q3183">
        <v>5</v>
      </c>
      <c r="R3183">
        <v>5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  <c r="Y3183">
        <v>5</v>
      </c>
      <c r="Z3183">
        <v>0</v>
      </c>
      <c r="AA3183">
        <v>0</v>
      </c>
      <c r="AC3183">
        <v>33.4</v>
      </c>
    </row>
    <row r="3184" spans="1:29">
      <c r="A3184">
        <v>3177</v>
      </c>
      <c r="B3184">
        <v>2984</v>
      </c>
      <c r="C3184" t="s">
        <v>6625</v>
      </c>
      <c r="D3184" t="s">
        <v>20</v>
      </c>
      <c r="E3184" t="s">
        <v>682</v>
      </c>
      <c r="F3184" t="s">
        <v>6626</v>
      </c>
      <c r="G3184" t="str">
        <f>"00218276"</f>
        <v>00218276</v>
      </c>
      <c r="H3184">
        <v>14.4</v>
      </c>
      <c r="I3184">
        <v>0</v>
      </c>
      <c r="L3184">
        <v>4</v>
      </c>
      <c r="M3184">
        <v>4</v>
      </c>
      <c r="N3184">
        <v>4</v>
      </c>
      <c r="O3184">
        <v>0</v>
      </c>
      <c r="P3184">
        <v>22.4</v>
      </c>
      <c r="Q3184">
        <v>11</v>
      </c>
      <c r="R3184">
        <v>11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  <c r="Y3184">
        <v>11</v>
      </c>
      <c r="Z3184">
        <v>0</v>
      </c>
      <c r="AA3184">
        <v>0</v>
      </c>
      <c r="AC3184">
        <v>33.4</v>
      </c>
    </row>
    <row r="3185" spans="1:29">
      <c r="A3185">
        <v>3178</v>
      </c>
      <c r="B3185">
        <v>40</v>
      </c>
      <c r="C3185" t="s">
        <v>6628</v>
      </c>
      <c r="D3185" t="s">
        <v>329</v>
      </c>
      <c r="E3185" t="s">
        <v>89</v>
      </c>
      <c r="F3185" t="s">
        <v>6629</v>
      </c>
      <c r="G3185" t="str">
        <f>"00336436"</f>
        <v>00336436</v>
      </c>
      <c r="H3185">
        <v>14.4</v>
      </c>
      <c r="I3185">
        <v>0</v>
      </c>
      <c r="M3185">
        <v>0</v>
      </c>
      <c r="N3185">
        <v>4</v>
      </c>
      <c r="O3185">
        <v>2</v>
      </c>
      <c r="P3185">
        <v>20.399999999999999</v>
      </c>
      <c r="Q3185">
        <v>13</v>
      </c>
      <c r="R3185">
        <v>13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0</v>
      </c>
      <c r="Y3185">
        <v>13</v>
      </c>
      <c r="Z3185">
        <v>0</v>
      </c>
      <c r="AA3185">
        <v>0</v>
      </c>
      <c r="AC3185">
        <v>33.4</v>
      </c>
    </row>
    <row r="3186" spans="1:29">
      <c r="A3186">
        <v>3179</v>
      </c>
      <c r="B3186">
        <v>2514</v>
      </c>
      <c r="C3186" t="s">
        <v>4477</v>
      </c>
      <c r="D3186" t="s">
        <v>205</v>
      </c>
      <c r="E3186" t="s">
        <v>451</v>
      </c>
      <c r="F3186" t="s">
        <v>6627</v>
      </c>
      <c r="G3186" t="str">
        <f>"00441775"</f>
        <v>00441775</v>
      </c>
      <c r="H3186">
        <v>14.4</v>
      </c>
      <c r="I3186">
        <v>0</v>
      </c>
      <c r="M3186">
        <v>0</v>
      </c>
      <c r="N3186">
        <v>4</v>
      </c>
      <c r="O3186">
        <v>2</v>
      </c>
      <c r="P3186">
        <v>20.399999999999999</v>
      </c>
      <c r="Q3186">
        <v>13</v>
      </c>
      <c r="R3186">
        <v>13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  <c r="Y3186">
        <v>13</v>
      </c>
      <c r="Z3186">
        <v>0</v>
      </c>
      <c r="AA3186">
        <v>0</v>
      </c>
      <c r="AC3186">
        <v>33.4</v>
      </c>
    </row>
    <row r="3187" spans="1:29">
      <c r="A3187">
        <v>3180</v>
      </c>
      <c r="B3187">
        <v>4939</v>
      </c>
      <c r="C3187" t="s">
        <v>6630</v>
      </c>
      <c r="D3187" t="s">
        <v>733</v>
      </c>
      <c r="E3187" t="s">
        <v>15</v>
      </c>
      <c r="F3187" t="s">
        <v>6631</v>
      </c>
      <c r="G3187" t="str">
        <f>"00849067"</f>
        <v>00849067</v>
      </c>
      <c r="H3187">
        <v>4.3600000000000003</v>
      </c>
      <c r="I3187">
        <v>0</v>
      </c>
      <c r="M3187">
        <v>0</v>
      </c>
      <c r="N3187">
        <v>0</v>
      </c>
      <c r="O3187">
        <v>0</v>
      </c>
      <c r="P3187">
        <v>4.3600000000000003</v>
      </c>
      <c r="Q3187">
        <v>0</v>
      </c>
      <c r="R3187">
        <v>0</v>
      </c>
      <c r="S3187">
        <v>0</v>
      </c>
      <c r="T3187">
        <v>0</v>
      </c>
      <c r="U3187">
        <v>0</v>
      </c>
      <c r="V3187">
        <v>0</v>
      </c>
      <c r="W3187">
        <v>0</v>
      </c>
      <c r="X3187">
        <v>0</v>
      </c>
      <c r="Y3187">
        <v>0</v>
      </c>
      <c r="Z3187">
        <v>9</v>
      </c>
      <c r="AA3187">
        <v>20</v>
      </c>
      <c r="AC3187">
        <v>33.36</v>
      </c>
    </row>
    <row r="3188" spans="1:29">
      <c r="A3188">
        <v>3181</v>
      </c>
      <c r="B3188">
        <v>4302</v>
      </c>
      <c r="C3188" t="s">
        <v>6632</v>
      </c>
      <c r="D3188" t="s">
        <v>336</v>
      </c>
      <c r="E3188" t="s">
        <v>28</v>
      </c>
      <c r="F3188" t="s">
        <v>6633</v>
      </c>
      <c r="G3188" t="str">
        <f>"00864532"</f>
        <v>00864532</v>
      </c>
      <c r="H3188">
        <v>23.28</v>
      </c>
      <c r="I3188">
        <v>0</v>
      </c>
      <c r="M3188">
        <v>0</v>
      </c>
      <c r="N3188">
        <v>4</v>
      </c>
      <c r="O3188">
        <v>0</v>
      </c>
      <c r="P3188">
        <v>27.28</v>
      </c>
      <c r="Q3188">
        <v>0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  <c r="Y3188">
        <v>0</v>
      </c>
      <c r="Z3188">
        <v>6</v>
      </c>
      <c r="AA3188">
        <v>0</v>
      </c>
      <c r="AC3188">
        <v>33.28</v>
      </c>
    </row>
    <row r="3189" spans="1:29">
      <c r="A3189">
        <v>3182</v>
      </c>
      <c r="B3189">
        <v>1217</v>
      </c>
      <c r="C3189" t="s">
        <v>1097</v>
      </c>
      <c r="D3189" t="s">
        <v>544</v>
      </c>
      <c r="E3189" t="s">
        <v>15</v>
      </c>
      <c r="F3189" t="s">
        <v>6634</v>
      </c>
      <c r="G3189" t="str">
        <f>"00510230"</f>
        <v>00510230</v>
      </c>
      <c r="H3189">
        <v>27.2</v>
      </c>
      <c r="I3189">
        <v>0</v>
      </c>
      <c r="M3189">
        <v>0</v>
      </c>
      <c r="N3189">
        <v>0</v>
      </c>
      <c r="O3189">
        <v>0</v>
      </c>
      <c r="P3189">
        <v>27.2</v>
      </c>
      <c r="Q3189">
        <v>0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0</v>
      </c>
      <c r="Z3189">
        <v>6</v>
      </c>
      <c r="AA3189">
        <v>0</v>
      </c>
      <c r="AC3189">
        <v>33.200000000000003</v>
      </c>
    </row>
    <row r="3190" spans="1:29">
      <c r="A3190">
        <v>3183</v>
      </c>
      <c r="B3190">
        <v>4151</v>
      </c>
      <c r="C3190" t="s">
        <v>342</v>
      </c>
      <c r="D3190" t="s">
        <v>329</v>
      </c>
      <c r="E3190" t="s">
        <v>227</v>
      </c>
      <c r="F3190" t="s">
        <v>6635</v>
      </c>
      <c r="G3190" t="str">
        <f>"00507678"</f>
        <v>00507678</v>
      </c>
      <c r="H3190">
        <v>15.2</v>
      </c>
      <c r="I3190">
        <v>0</v>
      </c>
      <c r="M3190">
        <v>0</v>
      </c>
      <c r="N3190">
        <v>4</v>
      </c>
      <c r="O3190">
        <v>0</v>
      </c>
      <c r="P3190">
        <v>19.2</v>
      </c>
      <c r="Q3190">
        <v>8</v>
      </c>
      <c r="R3190">
        <v>8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8</v>
      </c>
      <c r="Z3190">
        <v>6</v>
      </c>
      <c r="AA3190">
        <v>0</v>
      </c>
      <c r="AC3190">
        <v>33.200000000000003</v>
      </c>
    </row>
    <row r="3191" spans="1:29">
      <c r="A3191">
        <v>3184</v>
      </c>
      <c r="B3191">
        <v>1501</v>
      </c>
      <c r="C3191" t="s">
        <v>6638</v>
      </c>
      <c r="D3191" t="s">
        <v>6639</v>
      </c>
      <c r="E3191" t="s">
        <v>2835</v>
      </c>
      <c r="F3191" t="s">
        <v>6640</v>
      </c>
      <c r="G3191" t="str">
        <f>"00858745"</f>
        <v>00858745</v>
      </c>
      <c r="H3191">
        <v>33.200000000000003</v>
      </c>
      <c r="I3191">
        <v>0</v>
      </c>
      <c r="M3191">
        <v>0</v>
      </c>
      <c r="N3191">
        <v>0</v>
      </c>
      <c r="O3191">
        <v>0</v>
      </c>
      <c r="P3191">
        <v>33.200000000000003</v>
      </c>
      <c r="Q3191">
        <v>0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0</v>
      </c>
      <c r="Z3191">
        <v>0</v>
      </c>
      <c r="AA3191">
        <v>0</v>
      </c>
      <c r="AC3191">
        <v>33.200000000000003</v>
      </c>
    </row>
    <row r="3192" spans="1:29">
      <c r="A3192">
        <v>3185</v>
      </c>
      <c r="B3192">
        <v>1652</v>
      </c>
      <c r="C3192" t="s">
        <v>6636</v>
      </c>
      <c r="D3192" t="s">
        <v>98</v>
      </c>
      <c r="E3192" t="s">
        <v>252</v>
      </c>
      <c r="F3192" t="s">
        <v>6637</v>
      </c>
      <c r="G3192" t="str">
        <f>"00858570"</f>
        <v>00858570</v>
      </c>
      <c r="H3192">
        <v>33.200000000000003</v>
      </c>
      <c r="I3192">
        <v>0</v>
      </c>
      <c r="M3192">
        <v>0</v>
      </c>
      <c r="N3192">
        <v>0</v>
      </c>
      <c r="O3192">
        <v>0</v>
      </c>
      <c r="P3192">
        <v>33.200000000000003</v>
      </c>
      <c r="Q3192">
        <v>0</v>
      </c>
      <c r="R3192">
        <v>0</v>
      </c>
      <c r="S3192">
        <v>0</v>
      </c>
      <c r="T3192">
        <v>0</v>
      </c>
      <c r="U3192">
        <v>0</v>
      </c>
      <c r="V3192">
        <v>0</v>
      </c>
      <c r="W3192">
        <v>0</v>
      </c>
      <c r="X3192">
        <v>0</v>
      </c>
      <c r="Y3192">
        <v>0</v>
      </c>
      <c r="Z3192">
        <v>0</v>
      </c>
      <c r="AA3192">
        <v>0</v>
      </c>
      <c r="AC3192">
        <v>33.200000000000003</v>
      </c>
    </row>
    <row r="3193" spans="1:29">
      <c r="A3193">
        <v>3186</v>
      </c>
      <c r="B3193">
        <v>263</v>
      </c>
      <c r="C3193" t="s">
        <v>6643</v>
      </c>
      <c r="D3193" t="s">
        <v>6644</v>
      </c>
      <c r="E3193" t="s">
        <v>3139</v>
      </c>
      <c r="F3193" t="s">
        <v>6645</v>
      </c>
      <c r="G3193" t="str">
        <f>"00026584"</f>
        <v>00026584</v>
      </c>
      <c r="H3193">
        <v>33.200000000000003</v>
      </c>
      <c r="I3193">
        <v>0</v>
      </c>
      <c r="M3193">
        <v>0</v>
      </c>
      <c r="N3193">
        <v>0</v>
      </c>
      <c r="O3193">
        <v>0</v>
      </c>
      <c r="P3193">
        <v>33.200000000000003</v>
      </c>
      <c r="Q3193">
        <v>0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0</v>
      </c>
      <c r="Z3193">
        <v>0</v>
      </c>
      <c r="AA3193">
        <v>0</v>
      </c>
      <c r="AC3193">
        <v>33.200000000000003</v>
      </c>
    </row>
    <row r="3194" spans="1:29">
      <c r="A3194">
        <v>3187</v>
      </c>
      <c r="B3194">
        <v>1885</v>
      </c>
      <c r="C3194" t="s">
        <v>6641</v>
      </c>
      <c r="D3194" t="s">
        <v>52</v>
      </c>
      <c r="E3194" t="s">
        <v>337</v>
      </c>
      <c r="F3194" t="s">
        <v>6642</v>
      </c>
      <c r="G3194" t="str">
        <f>"00559705"</f>
        <v>00559705</v>
      </c>
      <c r="H3194">
        <v>33.200000000000003</v>
      </c>
      <c r="I3194">
        <v>0</v>
      </c>
      <c r="M3194">
        <v>0</v>
      </c>
      <c r="N3194">
        <v>0</v>
      </c>
      <c r="O3194">
        <v>0</v>
      </c>
      <c r="P3194">
        <v>33.200000000000003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  <c r="Y3194">
        <v>0</v>
      </c>
      <c r="Z3194">
        <v>0</v>
      </c>
      <c r="AA3194">
        <v>0</v>
      </c>
      <c r="AC3194">
        <v>33.200000000000003</v>
      </c>
    </row>
    <row r="3195" spans="1:29">
      <c r="A3195">
        <v>3188</v>
      </c>
      <c r="B3195">
        <v>3511</v>
      </c>
      <c r="C3195" t="s">
        <v>3869</v>
      </c>
      <c r="D3195" t="s">
        <v>465</v>
      </c>
      <c r="E3195" t="s">
        <v>79</v>
      </c>
      <c r="F3195" t="s">
        <v>6646</v>
      </c>
      <c r="G3195" t="str">
        <f>"00822829"</f>
        <v>00822829</v>
      </c>
      <c r="H3195">
        <v>27.2</v>
      </c>
      <c r="I3195">
        <v>0</v>
      </c>
      <c r="M3195">
        <v>0</v>
      </c>
      <c r="N3195">
        <v>4</v>
      </c>
      <c r="O3195">
        <v>2</v>
      </c>
      <c r="P3195">
        <v>33.200000000000003</v>
      </c>
      <c r="Q3195">
        <v>0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  <c r="Y3195">
        <v>0</v>
      </c>
      <c r="Z3195">
        <v>0</v>
      </c>
      <c r="AA3195">
        <v>0</v>
      </c>
      <c r="AC3195">
        <v>33.200000000000003</v>
      </c>
    </row>
    <row r="3196" spans="1:29">
      <c r="A3196">
        <v>3189</v>
      </c>
      <c r="B3196">
        <v>3303</v>
      </c>
      <c r="C3196" t="s">
        <v>6650</v>
      </c>
      <c r="D3196" t="s">
        <v>465</v>
      </c>
      <c r="E3196" t="s">
        <v>18</v>
      </c>
      <c r="F3196" t="s">
        <v>6651</v>
      </c>
      <c r="G3196" t="str">
        <f>"00531730"</f>
        <v>00531730</v>
      </c>
      <c r="H3196">
        <v>25.2</v>
      </c>
      <c r="I3196">
        <v>0</v>
      </c>
      <c r="L3196">
        <v>4</v>
      </c>
      <c r="M3196">
        <v>4</v>
      </c>
      <c r="N3196">
        <v>4</v>
      </c>
      <c r="O3196">
        <v>0</v>
      </c>
      <c r="P3196">
        <v>33.200000000000003</v>
      </c>
      <c r="Q3196">
        <v>0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0</v>
      </c>
      <c r="Y3196">
        <v>0</v>
      </c>
      <c r="Z3196">
        <v>0</v>
      </c>
      <c r="AA3196">
        <v>0</v>
      </c>
      <c r="AC3196">
        <v>33.200000000000003</v>
      </c>
    </row>
    <row r="3197" spans="1:29">
      <c r="A3197">
        <v>3190</v>
      </c>
      <c r="B3197">
        <v>4390</v>
      </c>
      <c r="C3197" t="s">
        <v>6647</v>
      </c>
      <c r="D3197" t="s">
        <v>6648</v>
      </c>
      <c r="E3197" t="s">
        <v>28</v>
      </c>
      <c r="F3197" t="s">
        <v>6649</v>
      </c>
      <c r="G3197" t="str">
        <f>"00861665"</f>
        <v>00861665</v>
      </c>
      <c r="H3197">
        <v>25.2</v>
      </c>
      <c r="I3197">
        <v>0</v>
      </c>
      <c r="J3197">
        <v>8</v>
      </c>
      <c r="M3197">
        <v>8</v>
      </c>
      <c r="N3197">
        <v>0</v>
      </c>
      <c r="O3197">
        <v>0</v>
      </c>
      <c r="P3197">
        <v>33.200000000000003</v>
      </c>
      <c r="Q3197">
        <v>0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0</v>
      </c>
      <c r="Z3197">
        <v>0</v>
      </c>
      <c r="AA3197">
        <v>0</v>
      </c>
      <c r="AC3197">
        <v>33.200000000000003</v>
      </c>
    </row>
    <row r="3198" spans="1:29">
      <c r="A3198">
        <v>3191</v>
      </c>
      <c r="B3198">
        <v>955</v>
      </c>
      <c r="C3198" t="s">
        <v>6652</v>
      </c>
      <c r="D3198" t="s">
        <v>52</v>
      </c>
      <c r="E3198" t="s">
        <v>66</v>
      </c>
      <c r="F3198" t="s">
        <v>6653</v>
      </c>
      <c r="G3198" t="str">
        <f>"00530444"</f>
        <v>00530444</v>
      </c>
      <c r="H3198">
        <v>7.2</v>
      </c>
      <c r="I3198">
        <v>0</v>
      </c>
      <c r="L3198">
        <v>4</v>
      </c>
      <c r="M3198">
        <v>4</v>
      </c>
      <c r="N3198">
        <v>4</v>
      </c>
      <c r="O3198">
        <v>2</v>
      </c>
      <c r="P3198">
        <v>17.2</v>
      </c>
      <c r="Q3198">
        <v>16</v>
      </c>
      <c r="R3198">
        <v>16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16</v>
      </c>
      <c r="Z3198">
        <v>0</v>
      </c>
      <c r="AA3198">
        <v>0</v>
      </c>
      <c r="AC3198">
        <v>33.200000000000003</v>
      </c>
    </row>
    <row r="3199" spans="1:29">
      <c r="A3199">
        <v>3192</v>
      </c>
      <c r="B3199">
        <v>1606</v>
      </c>
      <c r="C3199" t="s">
        <v>6654</v>
      </c>
      <c r="D3199" t="s">
        <v>24</v>
      </c>
      <c r="E3199" t="s">
        <v>28</v>
      </c>
      <c r="F3199" t="s">
        <v>6655</v>
      </c>
      <c r="G3199" t="str">
        <f>"00063623"</f>
        <v>00063623</v>
      </c>
      <c r="H3199">
        <v>7.2</v>
      </c>
      <c r="I3199">
        <v>0</v>
      </c>
      <c r="L3199">
        <v>4</v>
      </c>
      <c r="M3199">
        <v>4</v>
      </c>
      <c r="N3199">
        <v>4</v>
      </c>
      <c r="O3199">
        <v>2</v>
      </c>
      <c r="P3199">
        <v>17.2</v>
      </c>
      <c r="Q3199">
        <v>6</v>
      </c>
      <c r="R3199">
        <v>6</v>
      </c>
      <c r="S3199">
        <v>0</v>
      </c>
      <c r="T3199">
        <v>0</v>
      </c>
      <c r="U3199">
        <v>7</v>
      </c>
      <c r="V3199">
        <v>10</v>
      </c>
      <c r="W3199">
        <v>0</v>
      </c>
      <c r="X3199">
        <v>0</v>
      </c>
      <c r="Y3199">
        <v>16</v>
      </c>
      <c r="Z3199">
        <v>0</v>
      </c>
      <c r="AA3199">
        <v>0</v>
      </c>
      <c r="AC3199">
        <v>33.200000000000003</v>
      </c>
    </row>
    <row r="3200" spans="1:29">
      <c r="A3200">
        <v>3193</v>
      </c>
      <c r="B3200">
        <v>3672</v>
      </c>
      <c r="C3200" t="s">
        <v>770</v>
      </c>
      <c r="D3200" t="s">
        <v>159</v>
      </c>
      <c r="E3200" t="s">
        <v>15</v>
      </c>
      <c r="F3200" t="s">
        <v>6656</v>
      </c>
      <c r="G3200" t="str">
        <f>"00530370"</f>
        <v>00530370</v>
      </c>
      <c r="H3200">
        <v>29.16</v>
      </c>
      <c r="I3200">
        <v>0</v>
      </c>
      <c r="M3200">
        <v>0</v>
      </c>
      <c r="N3200">
        <v>4</v>
      </c>
      <c r="O3200">
        <v>0</v>
      </c>
      <c r="P3200">
        <v>33.159999999999997</v>
      </c>
      <c r="Q3200">
        <v>0</v>
      </c>
      <c r="R3200">
        <v>0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0</v>
      </c>
      <c r="Y3200">
        <v>0</v>
      </c>
      <c r="Z3200">
        <v>0</v>
      </c>
      <c r="AA3200">
        <v>0</v>
      </c>
      <c r="AC3200">
        <v>33.159999999999997</v>
      </c>
    </row>
    <row r="3201" spans="1:29">
      <c r="A3201">
        <v>3194</v>
      </c>
      <c r="B3201">
        <v>944</v>
      </c>
      <c r="C3201" t="s">
        <v>5945</v>
      </c>
      <c r="D3201" t="s">
        <v>276</v>
      </c>
      <c r="E3201" t="s">
        <v>15</v>
      </c>
      <c r="F3201" t="s">
        <v>6657</v>
      </c>
      <c r="G3201" t="str">
        <f>"00528705"</f>
        <v>00528705</v>
      </c>
      <c r="H3201">
        <v>13.08</v>
      </c>
      <c r="I3201">
        <v>0</v>
      </c>
      <c r="M3201">
        <v>0</v>
      </c>
      <c r="N3201">
        <v>4</v>
      </c>
      <c r="O3201">
        <v>2</v>
      </c>
      <c r="P3201">
        <v>19.079999999999998</v>
      </c>
      <c r="Q3201">
        <v>11</v>
      </c>
      <c r="R3201">
        <v>11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11</v>
      </c>
      <c r="Z3201">
        <v>3</v>
      </c>
      <c r="AA3201">
        <v>0</v>
      </c>
      <c r="AC3201">
        <v>33.08</v>
      </c>
    </row>
    <row r="3202" spans="1:29">
      <c r="A3202">
        <v>3195</v>
      </c>
      <c r="B3202">
        <v>954</v>
      </c>
      <c r="C3202" t="s">
        <v>2137</v>
      </c>
      <c r="D3202" t="s">
        <v>39</v>
      </c>
      <c r="E3202" t="s">
        <v>15</v>
      </c>
      <c r="F3202" t="s">
        <v>6658</v>
      </c>
      <c r="G3202" t="str">
        <f>"00555253"</f>
        <v>00555253</v>
      </c>
      <c r="H3202">
        <v>20</v>
      </c>
      <c r="I3202">
        <v>10</v>
      </c>
      <c r="M3202">
        <v>0</v>
      </c>
      <c r="N3202">
        <v>0</v>
      </c>
      <c r="O3202">
        <v>0</v>
      </c>
      <c r="P3202">
        <v>30</v>
      </c>
      <c r="Q3202">
        <v>0</v>
      </c>
      <c r="R3202">
        <v>0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0</v>
      </c>
      <c r="Y3202">
        <v>0</v>
      </c>
      <c r="Z3202">
        <v>3</v>
      </c>
      <c r="AA3202">
        <v>0</v>
      </c>
      <c r="AC3202">
        <v>33</v>
      </c>
    </row>
    <row r="3203" spans="1:29">
      <c r="A3203">
        <v>3196</v>
      </c>
      <c r="B3203">
        <v>4666</v>
      </c>
      <c r="C3203" t="s">
        <v>1182</v>
      </c>
      <c r="D3203" t="s">
        <v>687</v>
      </c>
      <c r="E3203" t="s">
        <v>79</v>
      </c>
      <c r="F3203" t="s">
        <v>6659</v>
      </c>
      <c r="G3203" t="str">
        <f>"00479930"</f>
        <v>00479930</v>
      </c>
      <c r="H3203">
        <v>0</v>
      </c>
      <c r="I3203">
        <v>0</v>
      </c>
      <c r="L3203">
        <v>4</v>
      </c>
      <c r="M3203">
        <v>4</v>
      </c>
      <c r="N3203">
        <v>4</v>
      </c>
      <c r="O3203">
        <v>0</v>
      </c>
      <c r="P3203">
        <v>8</v>
      </c>
      <c r="Q3203">
        <v>25</v>
      </c>
      <c r="R3203">
        <v>25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25</v>
      </c>
      <c r="Z3203">
        <v>0</v>
      </c>
      <c r="AA3203">
        <v>0</v>
      </c>
      <c r="AB3203" t="s">
        <v>128</v>
      </c>
      <c r="AC3203">
        <v>33</v>
      </c>
    </row>
    <row r="3204" spans="1:29">
      <c r="A3204">
        <v>3197</v>
      </c>
      <c r="B3204">
        <v>223</v>
      </c>
      <c r="C3204" t="s">
        <v>6660</v>
      </c>
      <c r="D3204" t="s">
        <v>962</v>
      </c>
      <c r="E3204" t="s">
        <v>18</v>
      </c>
      <c r="F3204" t="s">
        <v>6661</v>
      </c>
      <c r="G3204" t="str">
        <f>"00825524"</f>
        <v>00825524</v>
      </c>
      <c r="H3204">
        <v>26.92</v>
      </c>
      <c r="I3204">
        <v>0</v>
      </c>
      <c r="M3204">
        <v>0</v>
      </c>
      <c r="N3204">
        <v>0</v>
      </c>
      <c r="O3204">
        <v>0</v>
      </c>
      <c r="P3204">
        <v>26.92</v>
      </c>
      <c r="Q3204">
        <v>0</v>
      </c>
      <c r="R3204">
        <v>0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0</v>
      </c>
      <c r="Y3204">
        <v>0</v>
      </c>
      <c r="Z3204">
        <v>6</v>
      </c>
      <c r="AA3204">
        <v>0</v>
      </c>
      <c r="AC3204">
        <v>32.92</v>
      </c>
    </row>
    <row r="3205" spans="1:29">
      <c r="A3205">
        <v>3198</v>
      </c>
      <c r="B3205">
        <v>4370</v>
      </c>
      <c r="C3205" t="s">
        <v>6662</v>
      </c>
      <c r="D3205" t="s">
        <v>179</v>
      </c>
      <c r="E3205" t="s">
        <v>79</v>
      </c>
      <c r="F3205" t="s">
        <v>6663</v>
      </c>
      <c r="G3205" t="str">
        <f>"00264865"</f>
        <v>00264865</v>
      </c>
      <c r="H3205">
        <v>25.88</v>
      </c>
      <c r="I3205">
        <v>0</v>
      </c>
      <c r="M3205">
        <v>0</v>
      </c>
      <c r="N3205">
        <v>4</v>
      </c>
      <c r="O3205">
        <v>0</v>
      </c>
      <c r="P3205">
        <v>29.88</v>
      </c>
      <c r="Q3205">
        <v>0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0</v>
      </c>
      <c r="Z3205">
        <v>3</v>
      </c>
      <c r="AA3205">
        <v>0</v>
      </c>
      <c r="AC3205">
        <v>32.880000000000003</v>
      </c>
    </row>
    <row r="3206" spans="1:29">
      <c r="A3206">
        <v>3199</v>
      </c>
      <c r="B3206">
        <v>1900</v>
      </c>
      <c r="C3206" t="s">
        <v>490</v>
      </c>
      <c r="D3206" t="s">
        <v>95</v>
      </c>
      <c r="E3206" t="s">
        <v>115</v>
      </c>
      <c r="F3206" t="s">
        <v>6664</v>
      </c>
      <c r="G3206" t="str">
        <f>"00424601"</f>
        <v>00424601</v>
      </c>
      <c r="H3206">
        <v>12.84</v>
      </c>
      <c r="I3206">
        <v>10</v>
      </c>
      <c r="M3206">
        <v>0</v>
      </c>
      <c r="N3206">
        <v>4</v>
      </c>
      <c r="O3206">
        <v>0</v>
      </c>
      <c r="P3206">
        <v>26.84</v>
      </c>
      <c r="Q3206">
        <v>0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0</v>
      </c>
      <c r="Z3206">
        <v>6</v>
      </c>
      <c r="AA3206">
        <v>0</v>
      </c>
      <c r="AC3206">
        <v>32.840000000000003</v>
      </c>
    </row>
    <row r="3207" spans="1:29">
      <c r="A3207">
        <v>3200</v>
      </c>
      <c r="B3207">
        <v>1496</v>
      </c>
      <c r="C3207" t="s">
        <v>6665</v>
      </c>
      <c r="D3207" t="s">
        <v>282</v>
      </c>
      <c r="E3207" t="s">
        <v>122</v>
      </c>
      <c r="F3207" t="s">
        <v>6666</v>
      </c>
      <c r="G3207" t="str">
        <f>"00859386"</f>
        <v>00859386</v>
      </c>
      <c r="H3207">
        <v>0</v>
      </c>
      <c r="I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6</v>
      </c>
      <c r="AA3207">
        <v>26.8</v>
      </c>
      <c r="AC3207">
        <v>32.799999999999997</v>
      </c>
    </row>
    <row r="3208" spans="1:29">
      <c r="A3208">
        <v>3201</v>
      </c>
      <c r="B3208">
        <v>2945</v>
      </c>
      <c r="C3208" t="s">
        <v>6672</v>
      </c>
      <c r="D3208" t="s">
        <v>130</v>
      </c>
      <c r="E3208" t="s">
        <v>66</v>
      </c>
      <c r="F3208" t="s">
        <v>6673</v>
      </c>
      <c r="G3208" t="str">
        <f>"00586004"</f>
        <v>00586004</v>
      </c>
      <c r="H3208">
        <v>32.799999999999997</v>
      </c>
      <c r="I3208">
        <v>0</v>
      </c>
      <c r="M3208">
        <v>0</v>
      </c>
      <c r="N3208">
        <v>0</v>
      </c>
      <c r="O3208">
        <v>0</v>
      </c>
      <c r="P3208">
        <v>32.799999999999997</v>
      </c>
      <c r="Q3208">
        <v>0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0</v>
      </c>
      <c r="Z3208">
        <v>0</v>
      </c>
      <c r="AA3208">
        <v>0</v>
      </c>
      <c r="AC3208">
        <v>32.799999999999997</v>
      </c>
    </row>
    <row r="3209" spans="1:29">
      <c r="A3209">
        <v>3202</v>
      </c>
      <c r="B3209">
        <v>3741</v>
      </c>
      <c r="C3209" t="s">
        <v>6670</v>
      </c>
      <c r="D3209" t="s">
        <v>185</v>
      </c>
      <c r="E3209" t="s">
        <v>156</v>
      </c>
      <c r="F3209" t="s">
        <v>6671</v>
      </c>
      <c r="G3209" t="str">
        <f>"00859676"</f>
        <v>00859676</v>
      </c>
      <c r="H3209">
        <v>32.799999999999997</v>
      </c>
      <c r="I3209">
        <v>0</v>
      </c>
      <c r="M3209">
        <v>0</v>
      </c>
      <c r="N3209">
        <v>0</v>
      </c>
      <c r="O3209">
        <v>0</v>
      </c>
      <c r="P3209">
        <v>32.799999999999997</v>
      </c>
      <c r="Q3209">
        <v>0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v>0</v>
      </c>
      <c r="AA3209">
        <v>0</v>
      </c>
      <c r="AC3209">
        <v>32.799999999999997</v>
      </c>
    </row>
    <row r="3210" spans="1:29">
      <c r="A3210">
        <v>3203</v>
      </c>
      <c r="B3210">
        <v>3095</v>
      </c>
      <c r="C3210" t="s">
        <v>6667</v>
      </c>
      <c r="D3210" t="s">
        <v>6668</v>
      </c>
      <c r="E3210" t="s">
        <v>28</v>
      </c>
      <c r="F3210" t="s">
        <v>6669</v>
      </c>
      <c r="G3210" t="str">
        <f>"00864622"</f>
        <v>00864622</v>
      </c>
      <c r="H3210">
        <v>32.799999999999997</v>
      </c>
      <c r="I3210">
        <v>0</v>
      </c>
      <c r="M3210">
        <v>0</v>
      </c>
      <c r="N3210">
        <v>0</v>
      </c>
      <c r="O3210">
        <v>0</v>
      </c>
      <c r="P3210">
        <v>32.799999999999997</v>
      </c>
      <c r="Q3210">
        <v>0</v>
      </c>
      <c r="R3210">
        <v>0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0</v>
      </c>
      <c r="Z3210">
        <v>0</v>
      </c>
      <c r="AA3210">
        <v>0</v>
      </c>
      <c r="AC3210">
        <v>32.799999999999997</v>
      </c>
    </row>
    <row r="3211" spans="1:29">
      <c r="A3211">
        <v>3204</v>
      </c>
      <c r="B3211">
        <v>2591</v>
      </c>
      <c r="C3211" t="s">
        <v>6679</v>
      </c>
      <c r="D3211" t="s">
        <v>167</v>
      </c>
      <c r="E3211" t="s">
        <v>79</v>
      </c>
      <c r="F3211" t="s">
        <v>6680</v>
      </c>
      <c r="G3211" t="str">
        <f>"00809466"</f>
        <v>00809466</v>
      </c>
      <c r="H3211">
        <v>28.8</v>
      </c>
      <c r="I3211">
        <v>0</v>
      </c>
      <c r="L3211">
        <v>4</v>
      </c>
      <c r="M3211">
        <v>4</v>
      </c>
      <c r="N3211">
        <v>0</v>
      </c>
      <c r="O3211">
        <v>0</v>
      </c>
      <c r="P3211">
        <v>32.799999999999997</v>
      </c>
      <c r="Q3211">
        <v>0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  <c r="Y3211">
        <v>0</v>
      </c>
      <c r="Z3211">
        <v>0</v>
      </c>
      <c r="AA3211">
        <v>0</v>
      </c>
      <c r="AC3211">
        <v>32.799999999999997</v>
      </c>
    </row>
    <row r="3212" spans="1:29">
      <c r="A3212">
        <v>3205</v>
      </c>
      <c r="B3212">
        <v>4781</v>
      </c>
      <c r="C3212" t="s">
        <v>6681</v>
      </c>
      <c r="D3212" t="s">
        <v>155</v>
      </c>
      <c r="E3212" t="s">
        <v>18</v>
      </c>
      <c r="F3212" t="s">
        <v>6682</v>
      </c>
      <c r="G3212" t="str">
        <f>"00860683"</f>
        <v>00860683</v>
      </c>
      <c r="H3212">
        <v>28.8</v>
      </c>
      <c r="I3212">
        <v>0</v>
      </c>
      <c r="L3212">
        <v>4</v>
      </c>
      <c r="M3212">
        <v>4</v>
      </c>
      <c r="N3212">
        <v>0</v>
      </c>
      <c r="O3212">
        <v>0</v>
      </c>
      <c r="P3212">
        <v>32.799999999999997</v>
      </c>
      <c r="Q3212">
        <v>0</v>
      </c>
      <c r="R3212">
        <v>0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0</v>
      </c>
      <c r="Y3212">
        <v>0</v>
      </c>
      <c r="Z3212">
        <v>0</v>
      </c>
      <c r="AA3212">
        <v>0</v>
      </c>
      <c r="AC3212">
        <v>32.799999999999997</v>
      </c>
    </row>
    <row r="3213" spans="1:29">
      <c r="A3213">
        <v>3206</v>
      </c>
      <c r="B3213">
        <v>97</v>
      </c>
      <c r="C3213" t="s">
        <v>6675</v>
      </c>
      <c r="D3213" t="s">
        <v>108</v>
      </c>
      <c r="E3213" t="s">
        <v>621</v>
      </c>
      <c r="F3213" t="s">
        <v>6676</v>
      </c>
      <c r="G3213" t="str">
        <f>"201511015627"</f>
        <v>201511015627</v>
      </c>
      <c r="H3213">
        <v>28.8</v>
      </c>
      <c r="I3213">
        <v>0</v>
      </c>
      <c r="M3213">
        <v>0</v>
      </c>
      <c r="N3213">
        <v>4</v>
      </c>
      <c r="O3213">
        <v>0</v>
      </c>
      <c r="P3213">
        <v>32.799999999999997</v>
      </c>
      <c r="Q3213">
        <v>0</v>
      </c>
      <c r="R3213">
        <v>0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v>0</v>
      </c>
      <c r="AA3213">
        <v>0</v>
      </c>
      <c r="AC3213">
        <v>32.799999999999997</v>
      </c>
    </row>
    <row r="3214" spans="1:29">
      <c r="A3214">
        <v>3207</v>
      </c>
      <c r="B3214">
        <v>2558</v>
      </c>
      <c r="C3214" t="s">
        <v>838</v>
      </c>
      <c r="D3214" t="s">
        <v>130</v>
      </c>
      <c r="E3214" t="s">
        <v>79</v>
      </c>
      <c r="F3214" t="s">
        <v>6674</v>
      </c>
      <c r="G3214" t="str">
        <f>"00856691"</f>
        <v>00856691</v>
      </c>
      <c r="H3214">
        <v>28.8</v>
      </c>
      <c r="I3214">
        <v>0</v>
      </c>
      <c r="L3214">
        <v>4</v>
      </c>
      <c r="M3214">
        <v>4</v>
      </c>
      <c r="N3214">
        <v>0</v>
      </c>
      <c r="O3214">
        <v>0</v>
      </c>
      <c r="P3214">
        <v>32.799999999999997</v>
      </c>
      <c r="Q3214">
        <v>0</v>
      </c>
      <c r="R3214">
        <v>0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0</v>
      </c>
      <c r="Y3214">
        <v>0</v>
      </c>
      <c r="Z3214">
        <v>0</v>
      </c>
      <c r="AA3214">
        <v>0</v>
      </c>
      <c r="AC3214">
        <v>32.799999999999997</v>
      </c>
    </row>
    <row r="3215" spans="1:29">
      <c r="A3215">
        <v>3208</v>
      </c>
      <c r="B3215">
        <v>4934</v>
      </c>
      <c r="C3215" t="s">
        <v>6683</v>
      </c>
      <c r="D3215" t="s">
        <v>735</v>
      </c>
      <c r="E3215" t="s">
        <v>60</v>
      </c>
      <c r="F3215" t="s">
        <v>6684</v>
      </c>
      <c r="G3215" t="str">
        <f>"00151175"</f>
        <v>00151175</v>
      </c>
      <c r="H3215">
        <v>28.8</v>
      </c>
      <c r="I3215">
        <v>0</v>
      </c>
      <c r="M3215">
        <v>0</v>
      </c>
      <c r="N3215">
        <v>4</v>
      </c>
      <c r="O3215">
        <v>0</v>
      </c>
      <c r="P3215">
        <v>32.799999999999997</v>
      </c>
      <c r="Q3215">
        <v>0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v>0</v>
      </c>
      <c r="AA3215">
        <v>0</v>
      </c>
      <c r="AC3215">
        <v>32.799999999999997</v>
      </c>
    </row>
    <row r="3216" spans="1:29">
      <c r="A3216">
        <v>3209</v>
      </c>
      <c r="B3216">
        <v>2123</v>
      </c>
      <c r="C3216" t="s">
        <v>6677</v>
      </c>
      <c r="D3216" t="s">
        <v>108</v>
      </c>
      <c r="E3216" t="s">
        <v>156</v>
      </c>
      <c r="F3216" t="s">
        <v>6678</v>
      </c>
      <c r="G3216" t="str">
        <f>"00786678"</f>
        <v>00786678</v>
      </c>
      <c r="H3216">
        <v>28.8</v>
      </c>
      <c r="I3216">
        <v>0</v>
      </c>
      <c r="M3216">
        <v>0</v>
      </c>
      <c r="N3216">
        <v>4</v>
      </c>
      <c r="O3216">
        <v>0</v>
      </c>
      <c r="P3216">
        <v>32.799999999999997</v>
      </c>
      <c r="Q3216">
        <v>0</v>
      </c>
      <c r="R3216">
        <v>0</v>
      </c>
      <c r="S3216">
        <v>0</v>
      </c>
      <c r="T3216">
        <v>0</v>
      </c>
      <c r="U3216">
        <v>0</v>
      </c>
      <c r="V3216">
        <v>0</v>
      </c>
      <c r="W3216">
        <v>0</v>
      </c>
      <c r="X3216">
        <v>0</v>
      </c>
      <c r="Y3216">
        <v>0</v>
      </c>
      <c r="Z3216">
        <v>0</v>
      </c>
      <c r="AA3216">
        <v>0</v>
      </c>
      <c r="AC3216">
        <v>32.799999999999997</v>
      </c>
    </row>
    <row r="3217" spans="1:29">
      <c r="A3217">
        <v>3210</v>
      </c>
      <c r="B3217">
        <v>287</v>
      </c>
      <c r="C3217" t="s">
        <v>6685</v>
      </c>
      <c r="D3217" t="s">
        <v>27</v>
      </c>
      <c r="E3217" t="s">
        <v>18</v>
      </c>
      <c r="F3217" t="s">
        <v>6686</v>
      </c>
      <c r="G3217" t="str">
        <f>"00467138"</f>
        <v>00467138</v>
      </c>
      <c r="H3217">
        <v>28.8</v>
      </c>
      <c r="I3217">
        <v>0</v>
      </c>
      <c r="L3217">
        <v>4</v>
      </c>
      <c r="M3217">
        <v>4</v>
      </c>
      <c r="N3217">
        <v>0</v>
      </c>
      <c r="O3217">
        <v>0</v>
      </c>
      <c r="P3217">
        <v>32.799999999999997</v>
      </c>
      <c r="Q3217">
        <v>0</v>
      </c>
      <c r="R3217">
        <v>0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0</v>
      </c>
      <c r="AA3217">
        <v>0</v>
      </c>
      <c r="AC3217">
        <v>32.799999999999997</v>
      </c>
    </row>
    <row r="3218" spans="1:29">
      <c r="A3218">
        <v>3211</v>
      </c>
      <c r="B3218">
        <v>2381</v>
      </c>
      <c r="C3218" t="s">
        <v>6687</v>
      </c>
      <c r="D3218" t="s">
        <v>170</v>
      </c>
      <c r="E3218" t="s">
        <v>79</v>
      </c>
      <c r="F3218" t="s">
        <v>6688</v>
      </c>
      <c r="G3218" t="str">
        <f>"00810618"</f>
        <v>00810618</v>
      </c>
      <c r="H3218">
        <v>28.8</v>
      </c>
      <c r="I3218">
        <v>0</v>
      </c>
      <c r="L3218">
        <v>4</v>
      </c>
      <c r="M3218">
        <v>4</v>
      </c>
      <c r="N3218">
        <v>0</v>
      </c>
      <c r="O3218">
        <v>0</v>
      </c>
      <c r="P3218">
        <v>32.799999999999997</v>
      </c>
      <c r="Q3218">
        <v>0</v>
      </c>
      <c r="R3218">
        <v>0</v>
      </c>
      <c r="S3218">
        <v>0</v>
      </c>
      <c r="T3218">
        <v>0</v>
      </c>
      <c r="U3218">
        <v>0</v>
      </c>
      <c r="V3218">
        <v>0</v>
      </c>
      <c r="W3218">
        <v>0</v>
      </c>
      <c r="X3218">
        <v>0</v>
      </c>
      <c r="Y3218">
        <v>0</v>
      </c>
      <c r="Z3218">
        <v>0</v>
      </c>
      <c r="AA3218">
        <v>0</v>
      </c>
      <c r="AC3218">
        <v>32.799999999999997</v>
      </c>
    </row>
    <row r="3219" spans="1:29">
      <c r="A3219">
        <v>3212</v>
      </c>
      <c r="B3219">
        <v>4289</v>
      </c>
      <c r="C3219" t="s">
        <v>6689</v>
      </c>
      <c r="D3219" t="s">
        <v>86</v>
      </c>
      <c r="E3219" t="s">
        <v>36</v>
      </c>
      <c r="F3219" t="s">
        <v>6690</v>
      </c>
      <c r="G3219" t="str">
        <f>"201511028659"</f>
        <v>201511028659</v>
      </c>
      <c r="H3219">
        <v>26.68</v>
      </c>
      <c r="I3219">
        <v>0</v>
      </c>
      <c r="M3219">
        <v>0</v>
      </c>
      <c r="N3219">
        <v>0</v>
      </c>
      <c r="O3219">
        <v>0</v>
      </c>
      <c r="P3219">
        <v>26.68</v>
      </c>
      <c r="Q3219">
        <v>0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0</v>
      </c>
      <c r="Z3219">
        <v>6</v>
      </c>
      <c r="AA3219">
        <v>0</v>
      </c>
      <c r="AC3219">
        <v>32.68</v>
      </c>
    </row>
    <row r="3220" spans="1:29">
      <c r="A3220">
        <v>3213</v>
      </c>
      <c r="B3220">
        <v>4637</v>
      </c>
      <c r="C3220" t="s">
        <v>6692</v>
      </c>
      <c r="D3220" t="s">
        <v>6693</v>
      </c>
      <c r="E3220" t="s">
        <v>647</v>
      </c>
      <c r="F3220" t="s">
        <v>6694</v>
      </c>
      <c r="G3220" t="str">
        <f>"00858830"</f>
        <v>00858830</v>
      </c>
      <c r="H3220">
        <v>21.6</v>
      </c>
      <c r="I3220">
        <v>0</v>
      </c>
      <c r="L3220">
        <v>4</v>
      </c>
      <c r="M3220">
        <v>4</v>
      </c>
      <c r="N3220">
        <v>4</v>
      </c>
      <c r="O3220">
        <v>0</v>
      </c>
      <c r="P3220">
        <v>29.6</v>
      </c>
      <c r="Q3220">
        <v>0</v>
      </c>
      <c r="R3220">
        <v>0</v>
      </c>
      <c r="S3220">
        <v>0</v>
      </c>
      <c r="T3220">
        <v>0</v>
      </c>
      <c r="U3220">
        <v>0</v>
      </c>
      <c r="V3220">
        <v>0</v>
      </c>
      <c r="W3220">
        <v>0</v>
      </c>
      <c r="X3220">
        <v>0</v>
      </c>
      <c r="Y3220">
        <v>0</v>
      </c>
      <c r="Z3220">
        <v>3</v>
      </c>
      <c r="AA3220">
        <v>0</v>
      </c>
      <c r="AC3220">
        <v>32.6</v>
      </c>
    </row>
    <row r="3221" spans="1:29">
      <c r="A3221">
        <v>3214</v>
      </c>
      <c r="B3221">
        <v>3829</v>
      </c>
      <c r="C3221" t="s">
        <v>1529</v>
      </c>
      <c r="D3221" t="s">
        <v>251</v>
      </c>
      <c r="E3221" t="s">
        <v>56</v>
      </c>
      <c r="F3221" t="s">
        <v>6691</v>
      </c>
      <c r="G3221" t="str">
        <f>"00860500"</f>
        <v>00860500</v>
      </c>
      <c r="H3221">
        <v>21.6</v>
      </c>
      <c r="I3221">
        <v>0</v>
      </c>
      <c r="L3221">
        <v>4</v>
      </c>
      <c r="M3221">
        <v>4</v>
      </c>
      <c r="N3221">
        <v>4</v>
      </c>
      <c r="O3221">
        <v>0</v>
      </c>
      <c r="P3221">
        <v>29.6</v>
      </c>
      <c r="Q3221">
        <v>0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0</v>
      </c>
      <c r="Z3221">
        <v>3</v>
      </c>
      <c r="AA3221">
        <v>0</v>
      </c>
      <c r="AC3221">
        <v>32.6</v>
      </c>
    </row>
    <row r="3222" spans="1:29">
      <c r="A3222">
        <v>3215</v>
      </c>
      <c r="B3222">
        <v>4965</v>
      </c>
      <c r="C3222" t="s">
        <v>6695</v>
      </c>
      <c r="D3222" t="s">
        <v>147</v>
      </c>
      <c r="E3222" t="s">
        <v>436</v>
      </c>
      <c r="F3222" t="s">
        <v>6696</v>
      </c>
      <c r="G3222" t="str">
        <f>"00532159"</f>
        <v>00532159</v>
      </c>
      <c r="H3222">
        <v>21.6</v>
      </c>
      <c r="I3222">
        <v>0</v>
      </c>
      <c r="L3222">
        <v>4</v>
      </c>
      <c r="M3222">
        <v>4</v>
      </c>
      <c r="N3222">
        <v>0</v>
      </c>
      <c r="O3222">
        <v>2</v>
      </c>
      <c r="P3222">
        <v>27.6</v>
      </c>
      <c r="Q3222">
        <v>5</v>
      </c>
      <c r="R3222">
        <v>5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0</v>
      </c>
      <c r="Y3222">
        <v>5</v>
      </c>
      <c r="Z3222">
        <v>0</v>
      </c>
      <c r="AA3222">
        <v>0</v>
      </c>
      <c r="AC3222">
        <v>32.6</v>
      </c>
    </row>
    <row r="3223" spans="1:29">
      <c r="A3223">
        <v>3216</v>
      </c>
      <c r="B3223">
        <v>1533</v>
      </c>
      <c r="C3223" t="s">
        <v>543</v>
      </c>
      <c r="D3223" t="s">
        <v>6697</v>
      </c>
      <c r="E3223" t="s">
        <v>156</v>
      </c>
      <c r="F3223" t="s">
        <v>6698</v>
      </c>
      <c r="G3223" t="str">
        <f>"00441625"</f>
        <v>00441625</v>
      </c>
      <c r="H3223">
        <v>26.56</v>
      </c>
      <c r="I3223">
        <v>0</v>
      </c>
      <c r="M3223">
        <v>0</v>
      </c>
      <c r="N3223">
        <v>0</v>
      </c>
      <c r="O3223">
        <v>0</v>
      </c>
      <c r="P3223">
        <v>26.56</v>
      </c>
      <c r="Q3223">
        <v>0</v>
      </c>
      <c r="R3223">
        <v>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0</v>
      </c>
      <c r="Y3223">
        <v>0</v>
      </c>
      <c r="Z3223">
        <v>6</v>
      </c>
      <c r="AA3223">
        <v>0</v>
      </c>
      <c r="AC3223">
        <v>32.56</v>
      </c>
    </row>
    <row r="3224" spans="1:29">
      <c r="A3224">
        <v>3217</v>
      </c>
      <c r="B3224">
        <v>1848</v>
      </c>
      <c r="C3224" t="s">
        <v>4942</v>
      </c>
      <c r="D3224" t="s">
        <v>27</v>
      </c>
      <c r="E3224" t="s">
        <v>322</v>
      </c>
      <c r="F3224" t="s">
        <v>6699</v>
      </c>
      <c r="G3224" t="str">
        <f>"00865006"</f>
        <v>00865006</v>
      </c>
      <c r="H3224">
        <v>20.52</v>
      </c>
      <c r="I3224">
        <v>0</v>
      </c>
      <c r="M3224">
        <v>0</v>
      </c>
      <c r="N3224">
        <v>4</v>
      </c>
      <c r="O3224">
        <v>2</v>
      </c>
      <c r="P3224">
        <v>26.52</v>
      </c>
      <c r="Q3224">
        <v>0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0</v>
      </c>
      <c r="Z3224">
        <v>6</v>
      </c>
      <c r="AA3224">
        <v>0</v>
      </c>
      <c r="AC3224">
        <v>32.520000000000003</v>
      </c>
    </row>
    <row r="3225" spans="1:29">
      <c r="A3225">
        <v>3218</v>
      </c>
      <c r="B3225">
        <v>1232</v>
      </c>
      <c r="C3225" t="s">
        <v>779</v>
      </c>
      <c r="D3225" t="s">
        <v>179</v>
      </c>
      <c r="E3225" t="s">
        <v>60</v>
      </c>
      <c r="F3225" t="s">
        <v>6700</v>
      </c>
      <c r="G3225" t="str">
        <f>"00086579"</f>
        <v>00086579</v>
      </c>
      <c r="H3225">
        <v>29.44</v>
      </c>
      <c r="I3225">
        <v>0</v>
      </c>
      <c r="M3225">
        <v>0</v>
      </c>
      <c r="N3225">
        <v>0</v>
      </c>
      <c r="O3225">
        <v>0</v>
      </c>
      <c r="P3225">
        <v>29.44</v>
      </c>
      <c r="Q3225">
        <v>0</v>
      </c>
      <c r="R3225">
        <v>0</v>
      </c>
      <c r="S3225">
        <v>0</v>
      </c>
      <c r="T3225">
        <v>0</v>
      </c>
      <c r="U3225">
        <v>0</v>
      </c>
      <c r="V3225">
        <v>0</v>
      </c>
      <c r="W3225">
        <v>0</v>
      </c>
      <c r="X3225">
        <v>0</v>
      </c>
      <c r="Y3225">
        <v>0</v>
      </c>
      <c r="Z3225">
        <v>3</v>
      </c>
      <c r="AA3225">
        <v>0</v>
      </c>
      <c r="AC3225">
        <v>32.44</v>
      </c>
    </row>
    <row r="3226" spans="1:29">
      <c r="A3226">
        <v>3219</v>
      </c>
      <c r="B3226">
        <v>4383</v>
      </c>
      <c r="C3226" t="s">
        <v>6701</v>
      </c>
      <c r="D3226" t="s">
        <v>6702</v>
      </c>
      <c r="E3226" t="s">
        <v>6703</v>
      </c>
      <c r="F3226" t="s">
        <v>6704</v>
      </c>
      <c r="G3226" t="str">
        <f>"00665676"</f>
        <v>00665676</v>
      </c>
      <c r="H3226">
        <v>26.4</v>
      </c>
      <c r="I3226">
        <v>0</v>
      </c>
      <c r="M3226">
        <v>0</v>
      </c>
      <c r="N3226">
        <v>0</v>
      </c>
      <c r="O3226">
        <v>0</v>
      </c>
      <c r="P3226">
        <v>26.4</v>
      </c>
      <c r="Q3226">
        <v>0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0</v>
      </c>
      <c r="Z3226">
        <v>6</v>
      </c>
      <c r="AA3226">
        <v>0</v>
      </c>
      <c r="AC3226">
        <v>32.4</v>
      </c>
    </row>
    <row r="3227" spans="1:29">
      <c r="A3227">
        <v>3220</v>
      </c>
      <c r="B3227">
        <v>1519</v>
      </c>
      <c r="C3227" t="s">
        <v>1875</v>
      </c>
      <c r="D3227" t="s">
        <v>52</v>
      </c>
      <c r="E3227" t="s">
        <v>15</v>
      </c>
      <c r="F3227" t="s">
        <v>6705</v>
      </c>
      <c r="G3227" t="str">
        <f>"00762792"</f>
        <v>00762792</v>
      </c>
      <c r="H3227">
        <v>14.4</v>
      </c>
      <c r="I3227">
        <v>0</v>
      </c>
      <c r="J3227">
        <v>8</v>
      </c>
      <c r="M3227">
        <v>8</v>
      </c>
      <c r="N3227">
        <v>4</v>
      </c>
      <c r="O3227">
        <v>0</v>
      </c>
      <c r="P3227">
        <v>26.4</v>
      </c>
      <c r="Q3227">
        <v>0</v>
      </c>
      <c r="R3227">
        <v>0</v>
      </c>
      <c r="S3227">
        <v>0</v>
      </c>
      <c r="T3227">
        <v>0</v>
      </c>
      <c r="U3227">
        <v>0</v>
      </c>
      <c r="V3227">
        <v>0</v>
      </c>
      <c r="W3227">
        <v>0</v>
      </c>
      <c r="X3227">
        <v>0</v>
      </c>
      <c r="Y3227">
        <v>0</v>
      </c>
      <c r="Z3227">
        <v>6</v>
      </c>
      <c r="AA3227">
        <v>0</v>
      </c>
      <c r="AC3227">
        <v>32.4</v>
      </c>
    </row>
    <row r="3228" spans="1:29">
      <c r="A3228">
        <v>3221</v>
      </c>
      <c r="B3228">
        <v>879</v>
      </c>
      <c r="C3228" t="s">
        <v>3960</v>
      </c>
      <c r="D3228" t="s">
        <v>261</v>
      </c>
      <c r="E3228" t="s">
        <v>79</v>
      </c>
      <c r="F3228" t="s">
        <v>6706</v>
      </c>
      <c r="G3228" t="str">
        <f>"00538877"</f>
        <v>00538877</v>
      </c>
      <c r="H3228">
        <v>14.4</v>
      </c>
      <c r="I3228">
        <v>0</v>
      </c>
      <c r="J3228">
        <v>8</v>
      </c>
      <c r="M3228">
        <v>8</v>
      </c>
      <c r="N3228">
        <v>4</v>
      </c>
      <c r="O3228">
        <v>0</v>
      </c>
      <c r="P3228">
        <v>26.4</v>
      </c>
      <c r="Q3228">
        <v>0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0</v>
      </c>
      <c r="X3228">
        <v>0</v>
      </c>
      <c r="Y3228">
        <v>0</v>
      </c>
      <c r="Z3228">
        <v>6</v>
      </c>
      <c r="AA3228">
        <v>0</v>
      </c>
      <c r="AC3228">
        <v>32.4</v>
      </c>
    </row>
    <row r="3229" spans="1:29">
      <c r="A3229">
        <v>3222</v>
      </c>
      <c r="B3229">
        <v>4922</v>
      </c>
      <c r="C3229" t="s">
        <v>1286</v>
      </c>
      <c r="D3229" t="s">
        <v>27</v>
      </c>
      <c r="E3229" t="s">
        <v>134</v>
      </c>
      <c r="F3229" t="s">
        <v>6707</v>
      </c>
      <c r="G3229" t="str">
        <f>"00865988"</f>
        <v>00865988</v>
      </c>
      <c r="H3229">
        <v>14.4</v>
      </c>
      <c r="I3229">
        <v>0</v>
      </c>
      <c r="J3229">
        <v>8</v>
      </c>
      <c r="M3229">
        <v>8</v>
      </c>
      <c r="N3229">
        <v>4</v>
      </c>
      <c r="O3229">
        <v>0</v>
      </c>
      <c r="P3229">
        <v>26.4</v>
      </c>
      <c r="Q3229">
        <v>0</v>
      </c>
      <c r="R3229">
        <v>0</v>
      </c>
      <c r="S3229">
        <v>0</v>
      </c>
      <c r="T3229">
        <v>0</v>
      </c>
      <c r="U3229">
        <v>0</v>
      </c>
      <c r="V3229">
        <v>0</v>
      </c>
      <c r="W3229">
        <v>0</v>
      </c>
      <c r="X3229">
        <v>0</v>
      </c>
      <c r="Y3229">
        <v>0</v>
      </c>
      <c r="Z3229">
        <v>6</v>
      </c>
      <c r="AA3229">
        <v>0</v>
      </c>
      <c r="AC3229">
        <v>32.4</v>
      </c>
    </row>
    <row r="3230" spans="1:29">
      <c r="A3230">
        <v>3223</v>
      </c>
      <c r="B3230">
        <v>186</v>
      </c>
      <c r="C3230" t="s">
        <v>6708</v>
      </c>
      <c r="D3230" t="s">
        <v>35</v>
      </c>
      <c r="E3230" t="s">
        <v>15</v>
      </c>
      <c r="F3230" t="s">
        <v>6709</v>
      </c>
      <c r="G3230" t="str">
        <f>"00521331"</f>
        <v>00521331</v>
      </c>
      <c r="H3230">
        <v>28.4</v>
      </c>
      <c r="I3230">
        <v>0</v>
      </c>
      <c r="M3230">
        <v>0</v>
      </c>
      <c r="N3230">
        <v>0</v>
      </c>
      <c r="O3230">
        <v>0</v>
      </c>
      <c r="P3230">
        <v>28.4</v>
      </c>
      <c r="Q3230">
        <v>1</v>
      </c>
      <c r="R3230">
        <v>1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0</v>
      </c>
      <c r="Y3230">
        <v>1</v>
      </c>
      <c r="Z3230">
        <v>3</v>
      </c>
      <c r="AA3230">
        <v>0</v>
      </c>
      <c r="AC3230">
        <v>32.4</v>
      </c>
    </row>
    <row r="3231" spans="1:29">
      <c r="A3231">
        <v>3224</v>
      </c>
      <c r="B3231">
        <v>3374</v>
      </c>
      <c r="C3231" t="s">
        <v>6710</v>
      </c>
      <c r="D3231" t="s">
        <v>35</v>
      </c>
      <c r="E3231" t="s">
        <v>156</v>
      </c>
      <c r="F3231" t="s">
        <v>6711</v>
      </c>
      <c r="G3231" t="str">
        <f>"200909000302"</f>
        <v>200909000302</v>
      </c>
      <c r="H3231">
        <v>14.4</v>
      </c>
      <c r="I3231">
        <v>0</v>
      </c>
      <c r="J3231">
        <v>8</v>
      </c>
      <c r="M3231">
        <v>8</v>
      </c>
      <c r="N3231">
        <v>0</v>
      </c>
      <c r="O3231">
        <v>0</v>
      </c>
      <c r="P3231">
        <v>22.4</v>
      </c>
      <c r="Q3231">
        <v>7</v>
      </c>
      <c r="R3231">
        <v>7</v>
      </c>
      <c r="S3231">
        <v>0</v>
      </c>
      <c r="T3231">
        <v>0</v>
      </c>
      <c r="U3231">
        <v>0</v>
      </c>
      <c r="V3231">
        <v>0</v>
      </c>
      <c r="W3231">
        <v>0</v>
      </c>
      <c r="X3231">
        <v>0</v>
      </c>
      <c r="Y3231">
        <v>7</v>
      </c>
      <c r="Z3231">
        <v>3</v>
      </c>
      <c r="AA3231">
        <v>0</v>
      </c>
      <c r="AC3231">
        <v>32.4</v>
      </c>
    </row>
    <row r="3232" spans="1:29">
      <c r="A3232">
        <v>3225</v>
      </c>
      <c r="B3232">
        <v>1512</v>
      </c>
      <c r="C3232" t="s">
        <v>295</v>
      </c>
      <c r="D3232" t="s">
        <v>159</v>
      </c>
      <c r="E3232" t="s">
        <v>15</v>
      </c>
      <c r="F3232" t="s">
        <v>6712</v>
      </c>
      <c r="G3232" t="str">
        <f>"00730944"</f>
        <v>00730944</v>
      </c>
      <c r="H3232">
        <v>28.4</v>
      </c>
      <c r="I3232">
        <v>0</v>
      </c>
      <c r="M3232">
        <v>0</v>
      </c>
      <c r="N3232">
        <v>4</v>
      </c>
      <c r="O3232">
        <v>0</v>
      </c>
      <c r="P3232">
        <v>32.4</v>
      </c>
      <c r="Q3232">
        <v>0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0</v>
      </c>
      <c r="Z3232">
        <v>0</v>
      </c>
      <c r="AA3232">
        <v>0</v>
      </c>
      <c r="AC3232">
        <v>32.4</v>
      </c>
    </row>
    <row r="3233" spans="1:29">
      <c r="A3233">
        <v>3226</v>
      </c>
      <c r="B3233">
        <v>1552</v>
      </c>
      <c r="C3233" t="s">
        <v>6713</v>
      </c>
      <c r="D3233" t="s">
        <v>27</v>
      </c>
      <c r="E3233" t="s">
        <v>319</v>
      </c>
      <c r="F3233" t="s">
        <v>6714</v>
      </c>
      <c r="G3233" t="str">
        <f>"201511036461"</f>
        <v>201511036461</v>
      </c>
      <c r="H3233">
        <v>22.4</v>
      </c>
      <c r="I3233">
        <v>10</v>
      </c>
      <c r="M3233">
        <v>0</v>
      </c>
      <c r="N3233">
        <v>0</v>
      </c>
      <c r="O3233">
        <v>0</v>
      </c>
      <c r="P3233">
        <v>32.4</v>
      </c>
      <c r="Q3233">
        <v>0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0</v>
      </c>
      <c r="Z3233">
        <v>0</v>
      </c>
      <c r="AA3233">
        <v>0</v>
      </c>
      <c r="AC3233">
        <v>32.4</v>
      </c>
    </row>
    <row r="3234" spans="1:29">
      <c r="A3234">
        <v>3227</v>
      </c>
      <c r="B3234">
        <v>1790</v>
      </c>
      <c r="C3234" t="s">
        <v>6717</v>
      </c>
      <c r="D3234" t="s">
        <v>205</v>
      </c>
      <c r="E3234" t="s">
        <v>122</v>
      </c>
      <c r="F3234" t="s">
        <v>6718</v>
      </c>
      <c r="G3234" t="str">
        <f>"00858189"</f>
        <v>00858189</v>
      </c>
      <c r="H3234">
        <v>14.4</v>
      </c>
      <c r="I3234">
        <v>10</v>
      </c>
      <c r="L3234">
        <v>4</v>
      </c>
      <c r="M3234">
        <v>4</v>
      </c>
      <c r="N3234">
        <v>4</v>
      </c>
      <c r="O3234">
        <v>0</v>
      </c>
      <c r="P3234">
        <v>32.4</v>
      </c>
      <c r="Q3234">
        <v>0</v>
      </c>
      <c r="R3234">
        <v>0</v>
      </c>
      <c r="S3234">
        <v>0</v>
      </c>
      <c r="T3234">
        <v>0</v>
      </c>
      <c r="U3234">
        <v>0</v>
      </c>
      <c r="V3234">
        <v>0</v>
      </c>
      <c r="W3234">
        <v>0</v>
      </c>
      <c r="X3234">
        <v>0</v>
      </c>
      <c r="Y3234">
        <v>0</v>
      </c>
      <c r="Z3234">
        <v>0</v>
      </c>
      <c r="AA3234">
        <v>0</v>
      </c>
      <c r="AC3234">
        <v>32.4</v>
      </c>
    </row>
    <row r="3235" spans="1:29">
      <c r="A3235">
        <v>3228</v>
      </c>
      <c r="B3235">
        <v>749</v>
      </c>
      <c r="C3235" t="s">
        <v>6715</v>
      </c>
      <c r="D3235" t="s">
        <v>5880</v>
      </c>
      <c r="E3235" t="s">
        <v>79</v>
      </c>
      <c r="F3235" t="s">
        <v>6716</v>
      </c>
      <c r="G3235" t="str">
        <f>"201402010679"</f>
        <v>201402010679</v>
      </c>
      <c r="H3235">
        <v>14.4</v>
      </c>
      <c r="I3235">
        <v>10</v>
      </c>
      <c r="L3235">
        <v>4</v>
      </c>
      <c r="M3235">
        <v>4</v>
      </c>
      <c r="N3235">
        <v>4</v>
      </c>
      <c r="O3235">
        <v>0</v>
      </c>
      <c r="P3235">
        <v>32.4</v>
      </c>
      <c r="Q3235">
        <v>0</v>
      </c>
      <c r="R3235">
        <v>0</v>
      </c>
      <c r="S3235">
        <v>0</v>
      </c>
      <c r="T3235">
        <v>0</v>
      </c>
      <c r="U3235">
        <v>0</v>
      </c>
      <c r="V3235">
        <v>0</v>
      </c>
      <c r="W3235">
        <v>0</v>
      </c>
      <c r="X3235">
        <v>0</v>
      </c>
      <c r="Y3235">
        <v>0</v>
      </c>
      <c r="Z3235">
        <v>0</v>
      </c>
      <c r="AA3235">
        <v>0</v>
      </c>
      <c r="AC3235">
        <v>32.4</v>
      </c>
    </row>
    <row r="3236" spans="1:29">
      <c r="A3236">
        <v>3229</v>
      </c>
      <c r="B3236">
        <v>4262</v>
      </c>
      <c r="C3236" t="s">
        <v>6719</v>
      </c>
      <c r="D3236" t="s">
        <v>164</v>
      </c>
      <c r="E3236" t="s">
        <v>1807</v>
      </c>
      <c r="F3236" t="s">
        <v>6720</v>
      </c>
      <c r="G3236" t="str">
        <f>"00533900"</f>
        <v>00533900</v>
      </c>
      <c r="H3236">
        <v>20.399999999999999</v>
      </c>
      <c r="I3236">
        <v>0</v>
      </c>
      <c r="M3236">
        <v>0</v>
      </c>
      <c r="N3236">
        <v>0</v>
      </c>
      <c r="O3236">
        <v>0</v>
      </c>
      <c r="P3236">
        <v>20.399999999999999</v>
      </c>
      <c r="Q3236">
        <v>12</v>
      </c>
      <c r="R3236">
        <v>12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12</v>
      </c>
      <c r="Z3236">
        <v>0</v>
      </c>
      <c r="AA3236">
        <v>0</v>
      </c>
      <c r="AC3236">
        <v>32.4</v>
      </c>
    </row>
    <row r="3237" spans="1:29">
      <c r="A3237">
        <v>3230</v>
      </c>
      <c r="B3237">
        <v>220</v>
      </c>
      <c r="C3237" t="s">
        <v>490</v>
      </c>
      <c r="D3237" t="s">
        <v>39</v>
      </c>
      <c r="E3237" t="s">
        <v>18</v>
      </c>
      <c r="F3237" t="s">
        <v>6721</v>
      </c>
      <c r="G3237" t="str">
        <f>"00349336"</f>
        <v>00349336</v>
      </c>
      <c r="H3237">
        <v>20.32</v>
      </c>
      <c r="I3237">
        <v>0</v>
      </c>
      <c r="J3237">
        <v>8</v>
      </c>
      <c r="M3237">
        <v>8</v>
      </c>
      <c r="N3237">
        <v>4</v>
      </c>
      <c r="O3237">
        <v>0</v>
      </c>
      <c r="P3237">
        <v>32.32</v>
      </c>
      <c r="Q3237">
        <v>0</v>
      </c>
      <c r="R3237">
        <v>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0</v>
      </c>
      <c r="Y3237">
        <v>0</v>
      </c>
      <c r="Z3237">
        <v>0</v>
      </c>
      <c r="AA3237">
        <v>0</v>
      </c>
      <c r="AC3237">
        <v>32.32</v>
      </c>
    </row>
    <row r="3238" spans="1:29">
      <c r="A3238">
        <v>3231</v>
      </c>
      <c r="B3238">
        <v>2268</v>
      </c>
      <c r="C3238" t="s">
        <v>6722</v>
      </c>
      <c r="D3238" t="s">
        <v>784</v>
      </c>
      <c r="E3238" t="s">
        <v>115</v>
      </c>
      <c r="F3238" t="s">
        <v>6723</v>
      </c>
      <c r="G3238" t="str">
        <f>"00023404"</f>
        <v>00023404</v>
      </c>
      <c r="H3238">
        <v>20.28</v>
      </c>
      <c r="I3238">
        <v>0</v>
      </c>
      <c r="J3238">
        <v>8</v>
      </c>
      <c r="M3238">
        <v>8</v>
      </c>
      <c r="N3238">
        <v>4</v>
      </c>
      <c r="O3238">
        <v>0</v>
      </c>
      <c r="P3238">
        <v>32.28</v>
      </c>
      <c r="Q3238">
        <v>0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0</v>
      </c>
      <c r="Z3238">
        <v>0</v>
      </c>
      <c r="AA3238">
        <v>0</v>
      </c>
      <c r="AC3238">
        <v>32.28</v>
      </c>
    </row>
    <row r="3239" spans="1:29">
      <c r="A3239">
        <v>3232</v>
      </c>
      <c r="B3239">
        <v>1393</v>
      </c>
      <c r="C3239" t="s">
        <v>6724</v>
      </c>
      <c r="D3239" t="s">
        <v>27</v>
      </c>
      <c r="E3239" t="s">
        <v>18</v>
      </c>
      <c r="F3239" t="s">
        <v>6725</v>
      </c>
      <c r="G3239" t="str">
        <f>"00345426"</f>
        <v>00345426</v>
      </c>
      <c r="H3239">
        <v>18.2</v>
      </c>
      <c r="I3239">
        <v>0</v>
      </c>
      <c r="L3239">
        <v>4</v>
      </c>
      <c r="M3239">
        <v>4</v>
      </c>
      <c r="N3239">
        <v>4</v>
      </c>
      <c r="O3239">
        <v>0</v>
      </c>
      <c r="P3239">
        <v>26.2</v>
      </c>
      <c r="Q3239">
        <v>0</v>
      </c>
      <c r="R3239">
        <v>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0</v>
      </c>
      <c r="Y3239">
        <v>0</v>
      </c>
      <c r="Z3239">
        <v>6</v>
      </c>
      <c r="AA3239">
        <v>0</v>
      </c>
      <c r="AC3239">
        <v>32.200000000000003</v>
      </c>
    </row>
    <row r="3240" spans="1:29">
      <c r="A3240">
        <v>3233</v>
      </c>
      <c r="B3240">
        <v>4590</v>
      </c>
      <c r="C3240" t="s">
        <v>6726</v>
      </c>
      <c r="D3240" t="s">
        <v>6727</v>
      </c>
      <c r="E3240" t="s">
        <v>6728</v>
      </c>
      <c r="F3240" t="s">
        <v>6729</v>
      </c>
      <c r="G3240" t="str">
        <f>"00323372"</f>
        <v>00323372</v>
      </c>
      <c r="H3240">
        <v>26.16</v>
      </c>
      <c r="I3240">
        <v>0</v>
      </c>
      <c r="M3240">
        <v>0</v>
      </c>
      <c r="N3240">
        <v>0</v>
      </c>
      <c r="O3240">
        <v>0</v>
      </c>
      <c r="P3240">
        <v>26.16</v>
      </c>
      <c r="Q3240">
        <v>0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0</v>
      </c>
      <c r="Z3240">
        <v>6</v>
      </c>
      <c r="AA3240">
        <v>0</v>
      </c>
      <c r="AC3240">
        <v>32.159999999999997</v>
      </c>
    </row>
    <row r="3241" spans="1:29">
      <c r="A3241">
        <v>3234</v>
      </c>
      <c r="B3241">
        <v>2876</v>
      </c>
      <c r="C3241" t="s">
        <v>6730</v>
      </c>
      <c r="D3241" t="s">
        <v>27</v>
      </c>
      <c r="E3241" t="s">
        <v>970</v>
      </c>
      <c r="F3241" t="s">
        <v>6731</v>
      </c>
      <c r="G3241" t="str">
        <f>"00281802"</f>
        <v>00281802</v>
      </c>
      <c r="H3241">
        <v>22.16</v>
      </c>
      <c r="I3241">
        <v>0</v>
      </c>
      <c r="M3241">
        <v>0</v>
      </c>
      <c r="N3241">
        <v>4</v>
      </c>
      <c r="O3241">
        <v>0</v>
      </c>
      <c r="P3241">
        <v>26.16</v>
      </c>
      <c r="Q3241">
        <v>0</v>
      </c>
      <c r="R3241">
        <v>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0</v>
      </c>
      <c r="Y3241">
        <v>0</v>
      </c>
      <c r="Z3241">
        <v>6</v>
      </c>
      <c r="AA3241">
        <v>0</v>
      </c>
      <c r="AC3241">
        <v>32.159999999999997</v>
      </c>
    </row>
    <row r="3242" spans="1:29">
      <c r="A3242">
        <v>3235</v>
      </c>
      <c r="B3242">
        <v>573</v>
      </c>
      <c r="C3242" t="s">
        <v>6732</v>
      </c>
      <c r="D3242" t="s">
        <v>52</v>
      </c>
      <c r="E3242" t="s">
        <v>436</v>
      </c>
      <c r="F3242" t="s">
        <v>6733</v>
      </c>
      <c r="G3242" t="str">
        <f>"00857258"</f>
        <v>00857258</v>
      </c>
      <c r="H3242">
        <v>16</v>
      </c>
      <c r="I3242">
        <v>0</v>
      </c>
      <c r="L3242">
        <v>4</v>
      </c>
      <c r="M3242">
        <v>4</v>
      </c>
      <c r="N3242">
        <v>4</v>
      </c>
      <c r="O3242">
        <v>2</v>
      </c>
      <c r="P3242">
        <v>26</v>
      </c>
      <c r="Q3242">
        <v>0</v>
      </c>
      <c r="R3242">
        <v>0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0</v>
      </c>
      <c r="Z3242">
        <v>6</v>
      </c>
      <c r="AA3242">
        <v>0</v>
      </c>
      <c r="AC3242">
        <v>32</v>
      </c>
    </row>
    <row r="3243" spans="1:29">
      <c r="A3243">
        <v>3236</v>
      </c>
      <c r="B3243">
        <v>1194</v>
      </c>
      <c r="C3243" t="s">
        <v>5949</v>
      </c>
      <c r="D3243" t="s">
        <v>1138</v>
      </c>
      <c r="E3243" t="s">
        <v>36</v>
      </c>
      <c r="F3243" t="s">
        <v>6734</v>
      </c>
      <c r="G3243" t="str">
        <f>"00829966"</f>
        <v>00829966</v>
      </c>
      <c r="H3243">
        <v>32</v>
      </c>
      <c r="I3243">
        <v>0</v>
      </c>
      <c r="M3243">
        <v>0</v>
      </c>
      <c r="N3243">
        <v>0</v>
      </c>
      <c r="O3243">
        <v>0</v>
      </c>
      <c r="P3243">
        <v>32</v>
      </c>
      <c r="Q3243">
        <v>0</v>
      </c>
      <c r="R3243">
        <v>0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0</v>
      </c>
      <c r="Y3243">
        <v>0</v>
      </c>
      <c r="Z3243">
        <v>0</v>
      </c>
      <c r="AA3243">
        <v>0</v>
      </c>
      <c r="AC3243">
        <v>32</v>
      </c>
    </row>
    <row r="3244" spans="1:29">
      <c r="A3244">
        <v>3237</v>
      </c>
      <c r="B3244">
        <v>4396</v>
      </c>
      <c r="C3244" t="s">
        <v>3209</v>
      </c>
      <c r="D3244" t="s">
        <v>39</v>
      </c>
      <c r="E3244" t="s">
        <v>6737</v>
      </c>
      <c r="F3244" t="s">
        <v>6738</v>
      </c>
      <c r="G3244" t="str">
        <f>"00862726"</f>
        <v>00862726</v>
      </c>
      <c r="H3244">
        <v>28</v>
      </c>
      <c r="I3244">
        <v>0</v>
      </c>
      <c r="L3244">
        <v>4</v>
      </c>
      <c r="M3244">
        <v>4</v>
      </c>
      <c r="N3244">
        <v>0</v>
      </c>
      <c r="O3244">
        <v>0</v>
      </c>
      <c r="P3244">
        <v>32</v>
      </c>
      <c r="Q3244">
        <v>0</v>
      </c>
      <c r="R3244">
        <v>0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0</v>
      </c>
      <c r="Y3244">
        <v>0</v>
      </c>
      <c r="Z3244">
        <v>0</v>
      </c>
      <c r="AA3244">
        <v>0</v>
      </c>
      <c r="AC3244">
        <v>32</v>
      </c>
    </row>
    <row r="3245" spans="1:29">
      <c r="A3245">
        <v>3238</v>
      </c>
      <c r="B3245">
        <v>1490</v>
      </c>
      <c r="C3245" t="s">
        <v>6735</v>
      </c>
      <c r="D3245" t="s">
        <v>276</v>
      </c>
      <c r="E3245" t="s">
        <v>4965</v>
      </c>
      <c r="F3245" t="s">
        <v>6736</v>
      </c>
      <c r="G3245" t="str">
        <f>"00262601"</f>
        <v>00262601</v>
      </c>
      <c r="H3245">
        <v>28</v>
      </c>
      <c r="I3245">
        <v>0</v>
      </c>
      <c r="M3245">
        <v>0</v>
      </c>
      <c r="N3245">
        <v>4</v>
      </c>
      <c r="O3245">
        <v>0</v>
      </c>
      <c r="P3245">
        <v>32</v>
      </c>
      <c r="Q3245">
        <v>0</v>
      </c>
      <c r="R3245">
        <v>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0</v>
      </c>
      <c r="Z3245">
        <v>0</v>
      </c>
      <c r="AA3245">
        <v>0</v>
      </c>
      <c r="AC3245">
        <v>32</v>
      </c>
    </row>
    <row r="3246" spans="1:29">
      <c r="A3246">
        <v>3239</v>
      </c>
      <c r="B3246">
        <v>1993</v>
      </c>
      <c r="C3246" t="s">
        <v>6739</v>
      </c>
      <c r="D3246" t="s">
        <v>6740</v>
      </c>
      <c r="E3246" t="s">
        <v>252</v>
      </c>
      <c r="F3246" t="s">
        <v>6741</v>
      </c>
      <c r="G3246" t="str">
        <f>"00470676"</f>
        <v>00470676</v>
      </c>
      <c r="H3246">
        <v>0</v>
      </c>
      <c r="I3246">
        <v>0</v>
      </c>
      <c r="J3246">
        <v>8</v>
      </c>
      <c r="M3246">
        <v>8</v>
      </c>
      <c r="N3246">
        <v>4</v>
      </c>
      <c r="O3246">
        <v>2</v>
      </c>
      <c r="P3246">
        <v>14</v>
      </c>
      <c r="Q3246">
        <v>18</v>
      </c>
      <c r="R3246">
        <v>18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0</v>
      </c>
      <c r="Y3246">
        <v>18</v>
      </c>
      <c r="Z3246">
        <v>0</v>
      </c>
      <c r="AA3246">
        <v>0</v>
      </c>
      <c r="AC3246">
        <v>32</v>
      </c>
    </row>
    <row r="3247" spans="1:29">
      <c r="A3247">
        <v>3240</v>
      </c>
      <c r="B3247">
        <v>2400</v>
      </c>
      <c r="C3247" t="s">
        <v>6742</v>
      </c>
      <c r="D3247" t="s">
        <v>164</v>
      </c>
      <c r="E3247" t="s">
        <v>134</v>
      </c>
      <c r="F3247" t="s">
        <v>6743</v>
      </c>
      <c r="G3247" t="str">
        <f>"00864668"</f>
        <v>00864668</v>
      </c>
      <c r="H3247">
        <v>22.92</v>
      </c>
      <c r="I3247">
        <v>0</v>
      </c>
      <c r="M3247">
        <v>0</v>
      </c>
      <c r="N3247">
        <v>0</v>
      </c>
      <c r="O3247">
        <v>0</v>
      </c>
      <c r="P3247">
        <v>22.92</v>
      </c>
      <c r="Q3247">
        <v>0</v>
      </c>
      <c r="R3247">
        <v>0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0</v>
      </c>
      <c r="Y3247">
        <v>0</v>
      </c>
      <c r="Z3247">
        <v>9</v>
      </c>
      <c r="AA3247">
        <v>0</v>
      </c>
      <c r="AC3247">
        <v>31.92</v>
      </c>
    </row>
    <row r="3248" spans="1:29">
      <c r="A3248">
        <v>3241</v>
      </c>
      <c r="B3248">
        <v>767</v>
      </c>
      <c r="C3248" t="s">
        <v>6744</v>
      </c>
      <c r="D3248" t="s">
        <v>52</v>
      </c>
      <c r="E3248" t="s">
        <v>6745</v>
      </c>
      <c r="F3248" t="s">
        <v>6746</v>
      </c>
      <c r="G3248" t="str">
        <f>"00856933"</f>
        <v>00856933</v>
      </c>
      <c r="H3248">
        <v>28.84</v>
      </c>
      <c r="I3248">
        <v>0</v>
      </c>
      <c r="M3248">
        <v>0</v>
      </c>
      <c r="N3248">
        <v>0</v>
      </c>
      <c r="O3248">
        <v>0</v>
      </c>
      <c r="P3248">
        <v>28.84</v>
      </c>
      <c r="Q3248">
        <v>0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0</v>
      </c>
      <c r="Z3248">
        <v>3</v>
      </c>
      <c r="AA3248">
        <v>0</v>
      </c>
      <c r="AC3248">
        <v>31.84</v>
      </c>
    </row>
    <row r="3249" spans="1:29">
      <c r="A3249">
        <v>3242</v>
      </c>
      <c r="B3249">
        <v>3637</v>
      </c>
      <c r="C3249" t="s">
        <v>3921</v>
      </c>
      <c r="D3249" t="s">
        <v>27</v>
      </c>
      <c r="E3249" t="s">
        <v>6756</v>
      </c>
      <c r="F3249" t="s">
        <v>6757</v>
      </c>
      <c r="G3249" t="str">
        <f>"00859793"</f>
        <v>00859793</v>
      </c>
      <c r="H3249">
        <v>28.8</v>
      </c>
      <c r="I3249">
        <v>0</v>
      </c>
      <c r="M3249">
        <v>0</v>
      </c>
      <c r="N3249">
        <v>0</v>
      </c>
      <c r="O3249">
        <v>0</v>
      </c>
      <c r="P3249">
        <v>28.8</v>
      </c>
      <c r="Q3249">
        <v>0</v>
      </c>
      <c r="R3249">
        <v>0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0</v>
      </c>
      <c r="Y3249">
        <v>0</v>
      </c>
      <c r="Z3249">
        <v>3</v>
      </c>
      <c r="AA3249">
        <v>0</v>
      </c>
      <c r="AC3249">
        <v>31.8</v>
      </c>
    </row>
    <row r="3250" spans="1:29">
      <c r="A3250">
        <v>3243</v>
      </c>
      <c r="B3250">
        <v>4635</v>
      </c>
      <c r="C3250" t="s">
        <v>6754</v>
      </c>
      <c r="D3250" t="s">
        <v>557</v>
      </c>
      <c r="E3250" t="s">
        <v>337</v>
      </c>
      <c r="F3250" t="s">
        <v>6755</v>
      </c>
      <c r="G3250" t="str">
        <f>"00549541"</f>
        <v>00549541</v>
      </c>
      <c r="H3250">
        <v>28.8</v>
      </c>
      <c r="I3250">
        <v>0</v>
      </c>
      <c r="M3250">
        <v>0</v>
      </c>
      <c r="N3250">
        <v>0</v>
      </c>
      <c r="O3250">
        <v>0</v>
      </c>
      <c r="P3250">
        <v>28.8</v>
      </c>
      <c r="Q3250">
        <v>0</v>
      </c>
      <c r="R3250">
        <v>0</v>
      </c>
      <c r="S3250">
        <v>0</v>
      </c>
      <c r="T3250">
        <v>0</v>
      </c>
      <c r="U3250">
        <v>0</v>
      </c>
      <c r="V3250">
        <v>0</v>
      </c>
      <c r="W3250">
        <v>0</v>
      </c>
      <c r="X3250">
        <v>0</v>
      </c>
      <c r="Y3250">
        <v>0</v>
      </c>
      <c r="Z3250">
        <v>3</v>
      </c>
      <c r="AA3250">
        <v>0</v>
      </c>
      <c r="AC3250">
        <v>31.8</v>
      </c>
    </row>
    <row r="3251" spans="1:29">
      <c r="A3251">
        <v>3244</v>
      </c>
      <c r="B3251">
        <v>1933</v>
      </c>
      <c r="C3251" t="s">
        <v>6752</v>
      </c>
      <c r="D3251" t="s">
        <v>1179</v>
      </c>
      <c r="E3251" t="s">
        <v>36</v>
      </c>
      <c r="F3251" t="s">
        <v>6753</v>
      </c>
      <c r="G3251" t="str">
        <f>"00863134"</f>
        <v>00863134</v>
      </c>
      <c r="H3251">
        <v>28.8</v>
      </c>
      <c r="I3251">
        <v>0</v>
      </c>
      <c r="M3251">
        <v>0</v>
      </c>
      <c r="N3251">
        <v>0</v>
      </c>
      <c r="O3251">
        <v>0</v>
      </c>
      <c r="P3251">
        <v>28.8</v>
      </c>
      <c r="Q3251">
        <v>0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0</v>
      </c>
      <c r="Z3251">
        <v>3</v>
      </c>
      <c r="AA3251">
        <v>0</v>
      </c>
      <c r="AC3251">
        <v>31.8</v>
      </c>
    </row>
    <row r="3252" spans="1:29">
      <c r="A3252">
        <v>3245</v>
      </c>
      <c r="B3252">
        <v>4889</v>
      </c>
      <c r="C3252" t="s">
        <v>4631</v>
      </c>
      <c r="D3252" t="s">
        <v>930</v>
      </c>
      <c r="E3252" t="s">
        <v>15</v>
      </c>
      <c r="F3252" t="s">
        <v>6750</v>
      </c>
      <c r="G3252" t="str">
        <f>"00866606"</f>
        <v>00866606</v>
      </c>
      <c r="H3252">
        <v>28.8</v>
      </c>
      <c r="I3252">
        <v>0</v>
      </c>
      <c r="M3252">
        <v>0</v>
      </c>
      <c r="N3252">
        <v>0</v>
      </c>
      <c r="O3252">
        <v>0</v>
      </c>
      <c r="P3252">
        <v>28.8</v>
      </c>
      <c r="Q3252">
        <v>0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0</v>
      </c>
      <c r="Z3252">
        <v>3</v>
      </c>
      <c r="AA3252">
        <v>0</v>
      </c>
      <c r="AC3252">
        <v>31.8</v>
      </c>
    </row>
    <row r="3253" spans="1:29">
      <c r="A3253">
        <v>3246</v>
      </c>
      <c r="B3253">
        <v>560</v>
      </c>
      <c r="C3253" t="s">
        <v>6758</v>
      </c>
      <c r="D3253" t="s">
        <v>216</v>
      </c>
      <c r="E3253" t="s">
        <v>18</v>
      </c>
      <c r="F3253" t="s">
        <v>6759</v>
      </c>
      <c r="G3253" t="str">
        <f>"00855864"</f>
        <v>00855864</v>
      </c>
      <c r="H3253">
        <v>28.8</v>
      </c>
      <c r="I3253">
        <v>0</v>
      </c>
      <c r="M3253">
        <v>0</v>
      </c>
      <c r="N3253">
        <v>0</v>
      </c>
      <c r="O3253">
        <v>0</v>
      </c>
      <c r="P3253">
        <v>28.8</v>
      </c>
      <c r="Q3253">
        <v>0</v>
      </c>
      <c r="R3253">
        <v>0</v>
      </c>
      <c r="S3253">
        <v>0</v>
      </c>
      <c r="T3253">
        <v>0</v>
      </c>
      <c r="U3253">
        <v>0</v>
      </c>
      <c r="V3253">
        <v>0</v>
      </c>
      <c r="W3253">
        <v>0</v>
      </c>
      <c r="X3253">
        <v>0</v>
      </c>
      <c r="Y3253">
        <v>0</v>
      </c>
      <c r="Z3253">
        <v>3</v>
      </c>
      <c r="AA3253">
        <v>0</v>
      </c>
      <c r="AC3253">
        <v>31.8</v>
      </c>
    </row>
    <row r="3254" spans="1:29">
      <c r="A3254">
        <v>3247</v>
      </c>
      <c r="B3254">
        <v>348</v>
      </c>
      <c r="C3254" t="s">
        <v>6747</v>
      </c>
      <c r="D3254" t="s">
        <v>6748</v>
      </c>
      <c r="E3254" t="s">
        <v>60</v>
      </c>
      <c r="F3254" t="s">
        <v>6749</v>
      </c>
      <c r="G3254" t="str">
        <f>"00441565"</f>
        <v>00441565</v>
      </c>
      <c r="H3254">
        <v>28.8</v>
      </c>
      <c r="I3254">
        <v>0</v>
      </c>
      <c r="M3254">
        <v>0</v>
      </c>
      <c r="N3254">
        <v>0</v>
      </c>
      <c r="O3254">
        <v>0</v>
      </c>
      <c r="P3254">
        <v>28.8</v>
      </c>
      <c r="Q3254">
        <v>0</v>
      </c>
      <c r="R3254">
        <v>0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0</v>
      </c>
      <c r="Y3254">
        <v>0</v>
      </c>
      <c r="Z3254">
        <v>3</v>
      </c>
      <c r="AA3254">
        <v>0</v>
      </c>
      <c r="AC3254">
        <v>31.8</v>
      </c>
    </row>
    <row r="3255" spans="1:29">
      <c r="A3255">
        <v>3248</v>
      </c>
      <c r="B3255">
        <v>968</v>
      </c>
      <c r="C3255" t="s">
        <v>6523</v>
      </c>
      <c r="D3255" t="s">
        <v>205</v>
      </c>
      <c r="E3255" t="s">
        <v>15</v>
      </c>
      <c r="F3255" t="s">
        <v>6751</v>
      </c>
      <c r="G3255" t="str">
        <f>"00363604"</f>
        <v>00363604</v>
      </c>
      <c r="H3255">
        <v>28.8</v>
      </c>
      <c r="I3255">
        <v>0</v>
      </c>
      <c r="M3255">
        <v>0</v>
      </c>
      <c r="N3255">
        <v>0</v>
      </c>
      <c r="O3255">
        <v>0</v>
      </c>
      <c r="P3255">
        <v>28.8</v>
      </c>
      <c r="Q3255">
        <v>0</v>
      </c>
      <c r="R3255">
        <v>0</v>
      </c>
      <c r="S3255">
        <v>0</v>
      </c>
      <c r="T3255">
        <v>0</v>
      </c>
      <c r="U3255">
        <v>0</v>
      </c>
      <c r="V3255">
        <v>0</v>
      </c>
      <c r="W3255">
        <v>0</v>
      </c>
      <c r="X3255">
        <v>0</v>
      </c>
      <c r="Y3255">
        <v>0</v>
      </c>
      <c r="Z3255">
        <v>3</v>
      </c>
      <c r="AA3255">
        <v>0</v>
      </c>
      <c r="AC3255">
        <v>31.8</v>
      </c>
    </row>
    <row r="3256" spans="1:29">
      <c r="A3256">
        <v>3249</v>
      </c>
      <c r="B3256">
        <v>358</v>
      </c>
      <c r="C3256" t="s">
        <v>6760</v>
      </c>
      <c r="D3256" t="s">
        <v>27</v>
      </c>
      <c r="E3256" t="s">
        <v>164</v>
      </c>
      <c r="F3256" t="s">
        <v>6761</v>
      </c>
      <c r="G3256" t="str">
        <f>"00390244"</f>
        <v>00390244</v>
      </c>
      <c r="H3256">
        <v>20.72</v>
      </c>
      <c r="I3256">
        <v>0</v>
      </c>
      <c r="L3256">
        <v>4</v>
      </c>
      <c r="M3256">
        <v>4</v>
      </c>
      <c r="N3256">
        <v>4</v>
      </c>
      <c r="O3256">
        <v>0</v>
      </c>
      <c r="P3256">
        <v>28.72</v>
      </c>
      <c r="Q3256">
        <v>0</v>
      </c>
      <c r="R3256">
        <v>0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0</v>
      </c>
      <c r="Y3256">
        <v>0</v>
      </c>
      <c r="Z3256">
        <v>3</v>
      </c>
      <c r="AA3256">
        <v>0</v>
      </c>
      <c r="AC3256">
        <v>31.72</v>
      </c>
    </row>
    <row r="3257" spans="1:29">
      <c r="A3257">
        <v>3250</v>
      </c>
      <c r="B3257">
        <v>2927</v>
      </c>
      <c r="C3257" t="s">
        <v>3209</v>
      </c>
      <c r="D3257" t="s">
        <v>159</v>
      </c>
      <c r="E3257" t="s">
        <v>79</v>
      </c>
      <c r="F3257" t="s">
        <v>6771</v>
      </c>
      <c r="G3257" t="str">
        <f>"00553347"</f>
        <v>00553347</v>
      </c>
      <c r="H3257">
        <v>21.6</v>
      </c>
      <c r="I3257">
        <v>0</v>
      </c>
      <c r="M3257">
        <v>0</v>
      </c>
      <c r="N3257">
        <v>4</v>
      </c>
      <c r="O3257">
        <v>0</v>
      </c>
      <c r="P3257">
        <v>25.6</v>
      </c>
      <c r="Q3257">
        <v>0</v>
      </c>
      <c r="R3257">
        <v>0</v>
      </c>
      <c r="S3257">
        <v>0</v>
      </c>
      <c r="T3257">
        <v>0</v>
      </c>
      <c r="U3257">
        <v>0</v>
      </c>
      <c r="V3257">
        <v>0</v>
      </c>
      <c r="W3257">
        <v>0</v>
      </c>
      <c r="X3257">
        <v>0</v>
      </c>
      <c r="Y3257">
        <v>0</v>
      </c>
      <c r="Z3257">
        <v>6</v>
      </c>
      <c r="AA3257">
        <v>0</v>
      </c>
      <c r="AC3257">
        <v>31.6</v>
      </c>
    </row>
    <row r="3258" spans="1:29">
      <c r="A3258">
        <v>3251</v>
      </c>
      <c r="B3258">
        <v>3517</v>
      </c>
      <c r="C3258" t="s">
        <v>6765</v>
      </c>
      <c r="D3258" t="s">
        <v>588</v>
      </c>
      <c r="E3258" t="s">
        <v>134</v>
      </c>
      <c r="F3258" t="s">
        <v>6766</v>
      </c>
      <c r="G3258" t="str">
        <f>"00685742"</f>
        <v>00685742</v>
      </c>
      <c r="H3258">
        <v>21.6</v>
      </c>
      <c r="I3258">
        <v>0</v>
      </c>
      <c r="M3258">
        <v>0</v>
      </c>
      <c r="N3258">
        <v>4</v>
      </c>
      <c r="O3258">
        <v>0</v>
      </c>
      <c r="P3258">
        <v>25.6</v>
      </c>
      <c r="Q3258">
        <v>0</v>
      </c>
      <c r="R3258">
        <v>0</v>
      </c>
      <c r="S3258">
        <v>0</v>
      </c>
      <c r="T3258">
        <v>0</v>
      </c>
      <c r="U3258">
        <v>0</v>
      </c>
      <c r="V3258">
        <v>0</v>
      </c>
      <c r="W3258">
        <v>0</v>
      </c>
      <c r="X3258">
        <v>0</v>
      </c>
      <c r="Y3258">
        <v>0</v>
      </c>
      <c r="Z3258">
        <v>6</v>
      </c>
      <c r="AA3258">
        <v>0</v>
      </c>
      <c r="AC3258">
        <v>31.6</v>
      </c>
    </row>
    <row r="3259" spans="1:29">
      <c r="A3259">
        <v>3252</v>
      </c>
      <c r="B3259">
        <v>1798</v>
      </c>
      <c r="C3259" t="s">
        <v>2077</v>
      </c>
      <c r="D3259" t="s">
        <v>147</v>
      </c>
      <c r="E3259" t="s">
        <v>322</v>
      </c>
      <c r="F3259" t="s">
        <v>6762</v>
      </c>
      <c r="G3259" t="str">
        <f>"00863507"</f>
        <v>00863507</v>
      </c>
      <c r="H3259">
        <v>21.6</v>
      </c>
      <c r="I3259">
        <v>0</v>
      </c>
      <c r="L3259">
        <v>4</v>
      </c>
      <c r="M3259">
        <v>4</v>
      </c>
      <c r="N3259">
        <v>0</v>
      </c>
      <c r="O3259">
        <v>0</v>
      </c>
      <c r="P3259">
        <v>25.6</v>
      </c>
      <c r="Q3259">
        <v>0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0</v>
      </c>
      <c r="Z3259">
        <v>6</v>
      </c>
      <c r="AA3259">
        <v>0</v>
      </c>
      <c r="AC3259">
        <v>31.6</v>
      </c>
    </row>
    <row r="3260" spans="1:29">
      <c r="A3260">
        <v>3253</v>
      </c>
      <c r="B3260">
        <v>3247</v>
      </c>
      <c r="C3260" t="s">
        <v>6763</v>
      </c>
      <c r="D3260" t="s">
        <v>394</v>
      </c>
      <c r="E3260" t="s">
        <v>5771</v>
      </c>
      <c r="F3260" t="s">
        <v>6764</v>
      </c>
      <c r="G3260" t="str">
        <f>"00861677"</f>
        <v>00861677</v>
      </c>
      <c r="H3260">
        <v>21.6</v>
      </c>
      <c r="I3260">
        <v>0</v>
      </c>
      <c r="M3260">
        <v>0</v>
      </c>
      <c r="N3260">
        <v>4</v>
      </c>
      <c r="O3260">
        <v>0</v>
      </c>
      <c r="P3260">
        <v>25.6</v>
      </c>
      <c r="Q3260">
        <v>0</v>
      </c>
      <c r="R3260">
        <v>0</v>
      </c>
      <c r="S3260">
        <v>0</v>
      </c>
      <c r="T3260">
        <v>0</v>
      </c>
      <c r="U3260">
        <v>0</v>
      </c>
      <c r="V3260">
        <v>0</v>
      </c>
      <c r="W3260">
        <v>0</v>
      </c>
      <c r="X3260">
        <v>0</v>
      </c>
      <c r="Y3260">
        <v>0</v>
      </c>
      <c r="Z3260">
        <v>6</v>
      </c>
      <c r="AA3260">
        <v>0</v>
      </c>
      <c r="AC3260">
        <v>31.6</v>
      </c>
    </row>
    <row r="3261" spans="1:29">
      <c r="A3261">
        <v>3254</v>
      </c>
      <c r="B3261">
        <v>4742</v>
      </c>
      <c r="C3261" t="s">
        <v>902</v>
      </c>
      <c r="D3261" t="s">
        <v>6767</v>
      </c>
      <c r="E3261" t="s">
        <v>5835</v>
      </c>
      <c r="F3261" t="s">
        <v>6768</v>
      </c>
      <c r="G3261" t="str">
        <f>"00423477"</f>
        <v>00423477</v>
      </c>
      <c r="H3261">
        <v>21.6</v>
      </c>
      <c r="I3261">
        <v>0</v>
      </c>
      <c r="M3261">
        <v>0</v>
      </c>
      <c r="N3261">
        <v>4</v>
      </c>
      <c r="O3261">
        <v>0</v>
      </c>
      <c r="P3261">
        <v>25.6</v>
      </c>
      <c r="Q3261">
        <v>0</v>
      </c>
      <c r="R3261">
        <v>0</v>
      </c>
      <c r="S3261">
        <v>0</v>
      </c>
      <c r="T3261">
        <v>0</v>
      </c>
      <c r="U3261">
        <v>0</v>
      </c>
      <c r="V3261">
        <v>0</v>
      </c>
      <c r="W3261">
        <v>0</v>
      </c>
      <c r="X3261">
        <v>0</v>
      </c>
      <c r="Y3261">
        <v>0</v>
      </c>
      <c r="Z3261">
        <v>6</v>
      </c>
      <c r="AA3261">
        <v>0</v>
      </c>
      <c r="AC3261">
        <v>31.6</v>
      </c>
    </row>
    <row r="3262" spans="1:29">
      <c r="A3262">
        <v>3255</v>
      </c>
      <c r="B3262">
        <v>4852</v>
      </c>
      <c r="C3262" t="s">
        <v>6769</v>
      </c>
      <c r="D3262" t="s">
        <v>141</v>
      </c>
      <c r="E3262" t="s">
        <v>4134</v>
      </c>
      <c r="F3262" t="s">
        <v>6770</v>
      </c>
      <c r="G3262" t="str">
        <f>"00350446"</f>
        <v>00350446</v>
      </c>
      <c r="H3262">
        <v>21.6</v>
      </c>
      <c r="I3262">
        <v>0</v>
      </c>
      <c r="M3262">
        <v>0</v>
      </c>
      <c r="N3262">
        <v>4</v>
      </c>
      <c r="O3262">
        <v>0</v>
      </c>
      <c r="P3262">
        <v>25.6</v>
      </c>
      <c r="Q3262">
        <v>0</v>
      </c>
      <c r="R3262">
        <v>0</v>
      </c>
      <c r="S3262">
        <v>0</v>
      </c>
      <c r="T3262">
        <v>0</v>
      </c>
      <c r="U3262">
        <v>0</v>
      </c>
      <c r="V3262">
        <v>0</v>
      </c>
      <c r="W3262">
        <v>0</v>
      </c>
      <c r="X3262">
        <v>0</v>
      </c>
      <c r="Y3262">
        <v>0</v>
      </c>
      <c r="Z3262">
        <v>6</v>
      </c>
      <c r="AA3262">
        <v>0</v>
      </c>
      <c r="AC3262">
        <v>31.6</v>
      </c>
    </row>
    <row r="3263" spans="1:29">
      <c r="A3263">
        <v>3256</v>
      </c>
      <c r="B3263">
        <v>3926</v>
      </c>
      <c r="C3263" t="s">
        <v>6772</v>
      </c>
      <c r="D3263" t="s">
        <v>27</v>
      </c>
      <c r="E3263" t="s">
        <v>5464</v>
      </c>
      <c r="F3263" t="s">
        <v>6773</v>
      </c>
      <c r="G3263" t="str">
        <f>"00862749"</f>
        <v>00862749</v>
      </c>
      <c r="H3263">
        <v>27.6</v>
      </c>
      <c r="I3263">
        <v>0</v>
      </c>
      <c r="L3263">
        <v>4</v>
      </c>
      <c r="M3263">
        <v>4</v>
      </c>
      <c r="N3263">
        <v>0</v>
      </c>
      <c r="O3263">
        <v>0</v>
      </c>
      <c r="P3263">
        <v>31.6</v>
      </c>
      <c r="Q3263">
        <v>0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0</v>
      </c>
      <c r="Z3263">
        <v>0</v>
      </c>
      <c r="AA3263">
        <v>0</v>
      </c>
      <c r="AC3263">
        <v>31.6</v>
      </c>
    </row>
    <row r="3264" spans="1:29">
      <c r="A3264">
        <v>3257</v>
      </c>
      <c r="B3264">
        <v>1847</v>
      </c>
      <c r="C3264" t="s">
        <v>6775</v>
      </c>
      <c r="D3264" t="s">
        <v>216</v>
      </c>
      <c r="E3264" t="s">
        <v>5405</v>
      </c>
      <c r="F3264" t="s">
        <v>6776</v>
      </c>
      <c r="G3264" t="str">
        <f>"00863184"</f>
        <v>00863184</v>
      </c>
      <c r="H3264">
        <v>21.6</v>
      </c>
      <c r="I3264">
        <v>0</v>
      </c>
      <c r="L3264">
        <v>4</v>
      </c>
      <c r="M3264">
        <v>4</v>
      </c>
      <c r="N3264">
        <v>4</v>
      </c>
      <c r="O3264">
        <v>2</v>
      </c>
      <c r="P3264">
        <v>31.6</v>
      </c>
      <c r="Q3264">
        <v>0</v>
      </c>
      <c r="R3264">
        <v>0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0</v>
      </c>
      <c r="Z3264">
        <v>0</v>
      </c>
      <c r="AA3264">
        <v>0</v>
      </c>
      <c r="AC3264">
        <v>31.6</v>
      </c>
    </row>
    <row r="3265" spans="1:29">
      <c r="A3265">
        <v>3258</v>
      </c>
      <c r="B3265">
        <v>4185</v>
      </c>
      <c r="C3265" t="s">
        <v>6779</v>
      </c>
      <c r="D3265" t="s">
        <v>52</v>
      </c>
      <c r="E3265" t="s">
        <v>36</v>
      </c>
      <c r="F3265" t="s">
        <v>6780</v>
      </c>
      <c r="G3265" t="str">
        <f>"00860843"</f>
        <v>00860843</v>
      </c>
      <c r="H3265">
        <v>21.6</v>
      </c>
      <c r="I3265">
        <v>0</v>
      </c>
      <c r="L3265">
        <v>4</v>
      </c>
      <c r="M3265">
        <v>4</v>
      </c>
      <c r="N3265">
        <v>4</v>
      </c>
      <c r="O3265">
        <v>2</v>
      </c>
      <c r="P3265">
        <v>31.6</v>
      </c>
      <c r="Q3265">
        <v>0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0</v>
      </c>
      <c r="X3265">
        <v>0</v>
      </c>
      <c r="Y3265">
        <v>0</v>
      </c>
      <c r="Z3265">
        <v>0</v>
      </c>
      <c r="AA3265">
        <v>0</v>
      </c>
      <c r="AC3265">
        <v>31.6</v>
      </c>
    </row>
    <row r="3266" spans="1:29">
      <c r="A3266">
        <v>3259</v>
      </c>
      <c r="B3266">
        <v>4929</v>
      </c>
      <c r="C3266" t="s">
        <v>5369</v>
      </c>
      <c r="D3266" t="s">
        <v>86</v>
      </c>
      <c r="E3266" t="s">
        <v>115</v>
      </c>
      <c r="F3266" t="s">
        <v>6774</v>
      </c>
      <c r="G3266" t="str">
        <f>"00532089"</f>
        <v>00532089</v>
      </c>
      <c r="H3266">
        <v>21.6</v>
      </c>
      <c r="I3266">
        <v>0</v>
      </c>
      <c r="L3266">
        <v>4</v>
      </c>
      <c r="M3266">
        <v>4</v>
      </c>
      <c r="N3266">
        <v>4</v>
      </c>
      <c r="O3266">
        <v>2</v>
      </c>
      <c r="P3266">
        <v>31.6</v>
      </c>
      <c r="Q3266">
        <v>0</v>
      </c>
      <c r="R3266">
        <v>0</v>
      </c>
      <c r="S3266">
        <v>0</v>
      </c>
      <c r="T3266">
        <v>0</v>
      </c>
      <c r="U3266">
        <v>0</v>
      </c>
      <c r="V3266">
        <v>0</v>
      </c>
      <c r="W3266">
        <v>0</v>
      </c>
      <c r="X3266">
        <v>0</v>
      </c>
      <c r="Y3266">
        <v>0</v>
      </c>
      <c r="Z3266">
        <v>0</v>
      </c>
      <c r="AA3266">
        <v>0</v>
      </c>
      <c r="AC3266">
        <v>31.6</v>
      </c>
    </row>
    <row r="3267" spans="1:29">
      <c r="A3267">
        <v>3260</v>
      </c>
      <c r="B3267">
        <v>4325</v>
      </c>
      <c r="C3267" t="s">
        <v>6785</v>
      </c>
      <c r="D3267" t="s">
        <v>544</v>
      </c>
      <c r="E3267" t="s">
        <v>134</v>
      </c>
      <c r="F3267" t="s">
        <v>6786</v>
      </c>
      <c r="G3267" t="str">
        <f>"00857504"</f>
        <v>00857504</v>
      </c>
      <c r="H3267">
        <v>21.6</v>
      </c>
      <c r="I3267">
        <v>0</v>
      </c>
      <c r="L3267">
        <v>4</v>
      </c>
      <c r="M3267">
        <v>4</v>
      </c>
      <c r="N3267">
        <v>4</v>
      </c>
      <c r="O3267">
        <v>2</v>
      </c>
      <c r="P3267">
        <v>31.6</v>
      </c>
      <c r="Q3267">
        <v>0</v>
      </c>
      <c r="R3267">
        <v>0</v>
      </c>
      <c r="S3267">
        <v>0</v>
      </c>
      <c r="T3267">
        <v>0</v>
      </c>
      <c r="U3267">
        <v>0</v>
      </c>
      <c r="V3267">
        <v>0</v>
      </c>
      <c r="W3267">
        <v>0</v>
      </c>
      <c r="X3267">
        <v>0</v>
      </c>
      <c r="Y3267">
        <v>0</v>
      </c>
      <c r="Z3267">
        <v>0</v>
      </c>
      <c r="AA3267">
        <v>0</v>
      </c>
      <c r="AC3267">
        <v>31.6</v>
      </c>
    </row>
    <row r="3268" spans="1:29">
      <c r="A3268">
        <v>3261</v>
      </c>
      <c r="B3268">
        <v>1608</v>
      </c>
      <c r="C3268" t="s">
        <v>3778</v>
      </c>
      <c r="D3268" t="s">
        <v>784</v>
      </c>
      <c r="E3268" t="s">
        <v>3248</v>
      </c>
      <c r="F3268" t="s">
        <v>6781</v>
      </c>
      <c r="G3268" t="str">
        <f>"00530318"</f>
        <v>00530318</v>
      </c>
      <c r="H3268">
        <v>21.6</v>
      </c>
      <c r="I3268">
        <v>0</v>
      </c>
      <c r="L3268">
        <v>4</v>
      </c>
      <c r="M3268">
        <v>4</v>
      </c>
      <c r="N3268">
        <v>4</v>
      </c>
      <c r="O3268">
        <v>2</v>
      </c>
      <c r="P3268">
        <v>31.6</v>
      </c>
      <c r="Q3268">
        <v>0</v>
      </c>
      <c r="R3268">
        <v>0</v>
      </c>
      <c r="S3268">
        <v>0</v>
      </c>
      <c r="T3268">
        <v>0</v>
      </c>
      <c r="U3268">
        <v>0</v>
      </c>
      <c r="V3268">
        <v>0</v>
      </c>
      <c r="W3268">
        <v>0</v>
      </c>
      <c r="X3268">
        <v>0</v>
      </c>
      <c r="Y3268">
        <v>0</v>
      </c>
      <c r="Z3268">
        <v>0</v>
      </c>
      <c r="AA3268">
        <v>0</v>
      </c>
      <c r="AC3268">
        <v>31.6</v>
      </c>
    </row>
    <row r="3269" spans="1:29">
      <c r="A3269">
        <v>3262</v>
      </c>
      <c r="B3269">
        <v>423</v>
      </c>
      <c r="C3269" t="s">
        <v>6787</v>
      </c>
      <c r="D3269" t="s">
        <v>27</v>
      </c>
      <c r="E3269" t="s">
        <v>6788</v>
      </c>
      <c r="F3269" t="s">
        <v>6789</v>
      </c>
      <c r="G3269" t="str">
        <f>"00605310"</f>
        <v>00605310</v>
      </c>
      <c r="H3269">
        <v>21.6</v>
      </c>
      <c r="I3269">
        <v>0</v>
      </c>
      <c r="L3269">
        <v>4</v>
      </c>
      <c r="M3269">
        <v>4</v>
      </c>
      <c r="N3269">
        <v>4</v>
      </c>
      <c r="O3269">
        <v>2</v>
      </c>
      <c r="P3269">
        <v>31.6</v>
      </c>
      <c r="Q3269">
        <v>0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0</v>
      </c>
      <c r="X3269">
        <v>0</v>
      </c>
      <c r="Y3269">
        <v>0</v>
      </c>
      <c r="Z3269">
        <v>0</v>
      </c>
      <c r="AA3269">
        <v>0</v>
      </c>
      <c r="AC3269">
        <v>31.6</v>
      </c>
    </row>
    <row r="3270" spans="1:29">
      <c r="A3270">
        <v>3263</v>
      </c>
      <c r="B3270">
        <v>2070</v>
      </c>
      <c r="C3270" t="s">
        <v>712</v>
      </c>
      <c r="D3270" t="s">
        <v>52</v>
      </c>
      <c r="E3270" t="s">
        <v>115</v>
      </c>
      <c r="F3270" t="s">
        <v>6784</v>
      </c>
      <c r="G3270" t="str">
        <f>"00532752"</f>
        <v>00532752</v>
      </c>
      <c r="H3270">
        <v>21.6</v>
      </c>
      <c r="I3270">
        <v>0</v>
      </c>
      <c r="L3270">
        <v>4</v>
      </c>
      <c r="M3270">
        <v>4</v>
      </c>
      <c r="N3270">
        <v>4</v>
      </c>
      <c r="O3270">
        <v>2</v>
      </c>
      <c r="P3270">
        <v>31.6</v>
      </c>
      <c r="Q3270">
        <v>0</v>
      </c>
      <c r="R3270">
        <v>0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0</v>
      </c>
      <c r="Y3270">
        <v>0</v>
      </c>
      <c r="Z3270">
        <v>0</v>
      </c>
      <c r="AA3270">
        <v>0</v>
      </c>
      <c r="AC3270">
        <v>31.6</v>
      </c>
    </row>
    <row r="3271" spans="1:29">
      <c r="A3271">
        <v>3264</v>
      </c>
      <c r="B3271">
        <v>856</v>
      </c>
      <c r="C3271" t="s">
        <v>2422</v>
      </c>
      <c r="D3271" t="s">
        <v>282</v>
      </c>
      <c r="E3271" t="s">
        <v>873</v>
      </c>
      <c r="F3271" t="s">
        <v>6790</v>
      </c>
      <c r="G3271" t="str">
        <f>"201510003403"</f>
        <v>201510003403</v>
      </c>
      <c r="H3271">
        <v>21.6</v>
      </c>
      <c r="I3271">
        <v>0</v>
      </c>
      <c r="L3271">
        <v>8</v>
      </c>
      <c r="M3271">
        <v>8</v>
      </c>
      <c r="N3271">
        <v>0</v>
      </c>
      <c r="O3271">
        <v>2</v>
      </c>
      <c r="P3271">
        <v>31.6</v>
      </c>
      <c r="Q3271">
        <v>0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0</v>
      </c>
      <c r="Z3271">
        <v>0</v>
      </c>
      <c r="AA3271">
        <v>0</v>
      </c>
      <c r="AC3271">
        <v>31.6</v>
      </c>
    </row>
    <row r="3272" spans="1:29">
      <c r="A3272">
        <v>3265</v>
      </c>
      <c r="B3272">
        <v>4397</v>
      </c>
      <c r="C3272" t="s">
        <v>6782</v>
      </c>
      <c r="D3272" t="s">
        <v>276</v>
      </c>
      <c r="E3272" t="s">
        <v>36</v>
      </c>
      <c r="F3272" t="s">
        <v>6783</v>
      </c>
      <c r="G3272" t="str">
        <f>"00700824"</f>
        <v>00700824</v>
      </c>
      <c r="H3272">
        <v>21.6</v>
      </c>
      <c r="I3272">
        <v>0</v>
      </c>
      <c r="K3272">
        <v>6</v>
      </c>
      <c r="M3272">
        <v>6</v>
      </c>
      <c r="N3272">
        <v>4</v>
      </c>
      <c r="O3272">
        <v>0</v>
      </c>
      <c r="P3272">
        <v>31.6</v>
      </c>
      <c r="Q3272">
        <v>0</v>
      </c>
      <c r="R3272">
        <v>0</v>
      </c>
      <c r="S3272">
        <v>0</v>
      </c>
      <c r="T3272">
        <v>0</v>
      </c>
      <c r="U3272">
        <v>0</v>
      </c>
      <c r="V3272">
        <v>0</v>
      </c>
      <c r="W3272">
        <v>0</v>
      </c>
      <c r="X3272">
        <v>0</v>
      </c>
      <c r="Y3272">
        <v>0</v>
      </c>
      <c r="Z3272">
        <v>0</v>
      </c>
      <c r="AA3272">
        <v>0</v>
      </c>
      <c r="AC3272">
        <v>31.6</v>
      </c>
    </row>
    <row r="3273" spans="1:29">
      <c r="A3273">
        <v>3266</v>
      </c>
      <c r="B3273">
        <v>3619</v>
      </c>
      <c r="C3273" t="s">
        <v>6777</v>
      </c>
      <c r="D3273" t="s">
        <v>465</v>
      </c>
      <c r="E3273" t="s">
        <v>1398</v>
      </c>
      <c r="F3273" t="s">
        <v>6778</v>
      </c>
      <c r="G3273" t="str">
        <f>"00514229"</f>
        <v>00514229</v>
      </c>
      <c r="H3273">
        <v>21.6</v>
      </c>
      <c r="I3273">
        <v>0</v>
      </c>
      <c r="L3273">
        <v>4</v>
      </c>
      <c r="M3273">
        <v>4</v>
      </c>
      <c r="N3273">
        <v>4</v>
      </c>
      <c r="O3273">
        <v>2</v>
      </c>
      <c r="P3273">
        <v>31.6</v>
      </c>
      <c r="Q3273">
        <v>0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0</v>
      </c>
      <c r="Z3273">
        <v>0</v>
      </c>
      <c r="AA3273">
        <v>0</v>
      </c>
      <c r="AC3273">
        <v>31.6</v>
      </c>
    </row>
    <row r="3274" spans="1:29">
      <c r="A3274">
        <v>3267</v>
      </c>
      <c r="B3274">
        <v>1152</v>
      </c>
      <c r="C3274" t="s">
        <v>6791</v>
      </c>
      <c r="D3274" t="s">
        <v>784</v>
      </c>
      <c r="E3274" t="s">
        <v>79</v>
      </c>
      <c r="F3274" t="s">
        <v>6792</v>
      </c>
      <c r="G3274" t="str">
        <f>"00858623"</f>
        <v>00858623</v>
      </c>
      <c r="H3274">
        <v>19.600000000000001</v>
      </c>
      <c r="I3274">
        <v>0</v>
      </c>
      <c r="J3274">
        <v>8</v>
      </c>
      <c r="M3274">
        <v>8</v>
      </c>
      <c r="N3274">
        <v>4</v>
      </c>
      <c r="O3274">
        <v>0</v>
      </c>
      <c r="P3274">
        <v>31.6</v>
      </c>
      <c r="Q3274">
        <v>0</v>
      </c>
      <c r="R3274">
        <v>0</v>
      </c>
      <c r="S3274">
        <v>0</v>
      </c>
      <c r="T3274">
        <v>0</v>
      </c>
      <c r="U3274">
        <v>0</v>
      </c>
      <c r="V3274">
        <v>0</v>
      </c>
      <c r="W3274">
        <v>0</v>
      </c>
      <c r="X3274">
        <v>0</v>
      </c>
      <c r="Y3274">
        <v>0</v>
      </c>
      <c r="Z3274">
        <v>0</v>
      </c>
      <c r="AA3274">
        <v>0</v>
      </c>
      <c r="AC3274">
        <v>31.6</v>
      </c>
    </row>
    <row r="3275" spans="1:29">
      <c r="A3275">
        <v>3268</v>
      </c>
      <c r="B3275">
        <v>481</v>
      </c>
      <c r="C3275" t="s">
        <v>6793</v>
      </c>
      <c r="D3275" t="s">
        <v>6794</v>
      </c>
      <c r="E3275" t="s">
        <v>53</v>
      </c>
      <c r="F3275" t="s">
        <v>6795</v>
      </c>
      <c r="G3275" t="str">
        <f>"00405165"</f>
        <v>00405165</v>
      </c>
      <c r="H3275">
        <v>22.56</v>
      </c>
      <c r="I3275">
        <v>0</v>
      </c>
      <c r="M3275">
        <v>0</v>
      </c>
      <c r="N3275">
        <v>0</v>
      </c>
      <c r="O3275">
        <v>0</v>
      </c>
      <c r="P3275">
        <v>22.56</v>
      </c>
      <c r="Q3275">
        <v>0</v>
      </c>
      <c r="R3275">
        <v>0</v>
      </c>
      <c r="S3275">
        <v>0</v>
      </c>
      <c r="T3275">
        <v>0</v>
      </c>
      <c r="U3275">
        <v>0</v>
      </c>
      <c r="V3275">
        <v>0</v>
      </c>
      <c r="W3275">
        <v>0</v>
      </c>
      <c r="X3275">
        <v>0</v>
      </c>
      <c r="Y3275">
        <v>0</v>
      </c>
      <c r="Z3275">
        <v>9</v>
      </c>
      <c r="AA3275">
        <v>0</v>
      </c>
      <c r="AC3275">
        <v>31.56</v>
      </c>
    </row>
    <row r="3276" spans="1:29">
      <c r="A3276">
        <v>3269</v>
      </c>
      <c r="B3276">
        <v>934</v>
      </c>
      <c r="C3276" t="s">
        <v>5949</v>
      </c>
      <c r="D3276" t="s">
        <v>1786</v>
      </c>
      <c r="E3276" t="s">
        <v>227</v>
      </c>
      <c r="F3276" t="s">
        <v>6796</v>
      </c>
      <c r="G3276" t="str">
        <f>"00557694"</f>
        <v>00557694</v>
      </c>
      <c r="H3276">
        <v>25.44</v>
      </c>
      <c r="I3276">
        <v>0</v>
      </c>
      <c r="M3276">
        <v>0</v>
      </c>
      <c r="N3276">
        <v>0</v>
      </c>
      <c r="O3276">
        <v>0</v>
      </c>
      <c r="P3276">
        <v>25.44</v>
      </c>
      <c r="Q3276">
        <v>0</v>
      </c>
      <c r="R3276">
        <v>0</v>
      </c>
      <c r="S3276">
        <v>0</v>
      </c>
      <c r="T3276">
        <v>0</v>
      </c>
      <c r="U3276">
        <v>0</v>
      </c>
      <c r="V3276">
        <v>0</v>
      </c>
      <c r="W3276">
        <v>0</v>
      </c>
      <c r="X3276">
        <v>0</v>
      </c>
      <c r="Y3276">
        <v>0</v>
      </c>
      <c r="Z3276">
        <v>6</v>
      </c>
      <c r="AA3276">
        <v>0</v>
      </c>
      <c r="AC3276">
        <v>31.44</v>
      </c>
    </row>
    <row r="3277" spans="1:29">
      <c r="A3277">
        <v>3270</v>
      </c>
      <c r="B3277">
        <v>770</v>
      </c>
      <c r="C3277" t="s">
        <v>6797</v>
      </c>
      <c r="D3277" t="s">
        <v>39</v>
      </c>
      <c r="E3277" t="s">
        <v>36</v>
      </c>
      <c r="F3277" t="s">
        <v>6798</v>
      </c>
      <c r="G3277" t="str">
        <f>"00519535"</f>
        <v>00519535</v>
      </c>
      <c r="H3277">
        <v>15.44</v>
      </c>
      <c r="I3277">
        <v>10</v>
      </c>
      <c r="M3277">
        <v>0</v>
      </c>
      <c r="N3277">
        <v>0</v>
      </c>
      <c r="O3277">
        <v>2</v>
      </c>
      <c r="P3277">
        <v>27.44</v>
      </c>
      <c r="Q3277">
        <v>4</v>
      </c>
      <c r="R3277">
        <v>4</v>
      </c>
      <c r="S3277">
        <v>0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4</v>
      </c>
      <c r="Z3277">
        <v>0</v>
      </c>
      <c r="AA3277">
        <v>0</v>
      </c>
      <c r="AC3277">
        <v>31.44</v>
      </c>
    </row>
    <row r="3278" spans="1:29">
      <c r="A3278">
        <v>3271</v>
      </c>
      <c r="B3278">
        <v>3103</v>
      </c>
      <c r="C3278" t="s">
        <v>6799</v>
      </c>
      <c r="D3278" t="s">
        <v>52</v>
      </c>
      <c r="E3278" t="s">
        <v>156</v>
      </c>
      <c r="F3278" t="s">
        <v>6800</v>
      </c>
      <c r="G3278" t="str">
        <f>"00863951"</f>
        <v>00863951</v>
      </c>
      <c r="H3278">
        <v>14.4</v>
      </c>
      <c r="I3278">
        <v>0</v>
      </c>
      <c r="L3278">
        <v>4</v>
      </c>
      <c r="M3278">
        <v>4</v>
      </c>
      <c r="N3278">
        <v>4</v>
      </c>
      <c r="O3278">
        <v>0</v>
      </c>
      <c r="P3278">
        <v>22.4</v>
      </c>
      <c r="Q3278">
        <v>0</v>
      </c>
      <c r="R3278">
        <v>0</v>
      </c>
      <c r="S3278">
        <v>0</v>
      </c>
      <c r="T3278">
        <v>0</v>
      </c>
      <c r="U3278">
        <v>0</v>
      </c>
      <c r="V3278">
        <v>0</v>
      </c>
      <c r="W3278">
        <v>0</v>
      </c>
      <c r="X3278">
        <v>0</v>
      </c>
      <c r="Y3278">
        <v>0</v>
      </c>
      <c r="Z3278">
        <v>9</v>
      </c>
      <c r="AA3278">
        <v>0</v>
      </c>
      <c r="AC3278">
        <v>31.4</v>
      </c>
    </row>
    <row r="3279" spans="1:29">
      <c r="A3279">
        <v>3272</v>
      </c>
      <c r="B3279">
        <v>4701</v>
      </c>
      <c r="C3279" t="s">
        <v>1631</v>
      </c>
      <c r="D3279" t="s">
        <v>52</v>
      </c>
      <c r="E3279" t="s">
        <v>79</v>
      </c>
      <c r="F3279" t="s">
        <v>6801</v>
      </c>
      <c r="G3279" t="str">
        <f>"00705926"</f>
        <v>00705926</v>
      </c>
      <c r="H3279">
        <v>24.4</v>
      </c>
      <c r="I3279">
        <v>0</v>
      </c>
      <c r="M3279">
        <v>0</v>
      </c>
      <c r="N3279">
        <v>4</v>
      </c>
      <c r="O3279">
        <v>0</v>
      </c>
      <c r="P3279">
        <v>28.4</v>
      </c>
      <c r="Q3279">
        <v>0</v>
      </c>
      <c r="R3279">
        <v>0</v>
      </c>
      <c r="S3279">
        <v>0</v>
      </c>
      <c r="T3279">
        <v>0</v>
      </c>
      <c r="U3279">
        <v>0</v>
      </c>
      <c r="V3279">
        <v>0</v>
      </c>
      <c r="W3279">
        <v>0</v>
      </c>
      <c r="X3279">
        <v>0</v>
      </c>
      <c r="Y3279">
        <v>0</v>
      </c>
      <c r="Z3279">
        <v>3</v>
      </c>
      <c r="AA3279">
        <v>0</v>
      </c>
      <c r="AC3279">
        <v>31.4</v>
      </c>
    </row>
    <row r="3280" spans="1:29">
      <c r="A3280">
        <v>3273</v>
      </c>
      <c r="B3280">
        <v>1831</v>
      </c>
      <c r="C3280" t="s">
        <v>6802</v>
      </c>
      <c r="D3280" t="s">
        <v>185</v>
      </c>
      <c r="E3280" t="s">
        <v>115</v>
      </c>
      <c r="F3280" t="s">
        <v>6803</v>
      </c>
      <c r="G3280" t="str">
        <f>"00532960"</f>
        <v>00532960</v>
      </c>
      <c r="H3280">
        <v>14.4</v>
      </c>
      <c r="I3280">
        <v>0</v>
      </c>
      <c r="M3280">
        <v>0</v>
      </c>
      <c r="N3280">
        <v>4</v>
      </c>
      <c r="O3280">
        <v>2</v>
      </c>
      <c r="P3280">
        <v>20.399999999999999</v>
      </c>
      <c r="Q3280">
        <v>11</v>
      </c>
      <c r="R3280">
        <v>11</v>
      </c>
      <c r="S3280">
        <v>0</v>
      </c>
      <c r="T3280">
        <v>0</v>
      </c>
      <c r="U3280">
        <v>0</v>
      </c>
      <c r="V3280">
        <v>0</v>
      </c>
      <c r="W3280">
        <v>0</v>
      </c>
      <c r="X3280">
        <v>0</v>
      </c>
      <c r="Y3280">
        <v>11</v>
      </c>
      <c r="Z3280">
        <v>0</v>
      </c>
      <c r="AA3280">
        <v>0</v>
      </c>
      <c r="AC3280">
        <v>31.4</v>
      </c>
    </row>
    <row r="3281" spans="1:29">
      <c r="A3281">
        <v>3274</v>
      </c>
      <c r="B3281">
        <v>2727</v>
      </c>
      <c r="C3281" t="s">
        <v>563</v>
      </c>
      <c r="D3281" t="s">
        <v>1187</v>
      </c>
      <c r="E3281" t="s">
        <v>227</v>
      </c>
      <c r="F3281" t="s">
        <v>6804</v>
      </c>
      <c r="G3281" t="str">
        <f>"201410012515"</f>
        <v>201410012515</v>
      </c>
      <c r="H3281">
        <v>12.36</v>
      </c>
      <c r="I3281">
        <v>10</v>
      </c>
      <c r="M3281">
        <v>0</v>
      </c>
      <c r="N3281">
        <v>0</v>
      </c>
      <c r="O3281">
        <v>0</v>
      </c>
      <c r="P3281">
        <v>22.36</v>
      </c>
      <c r="Q3281">
        <v>6</v>
      </c>
      <c r="R3281">
        <v>6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0</v>
      </c>
      <c r="Y3281">
        <v>6</v>
      </c>
      <c r="Z3281">
        <v>3</v>
      </c>
      <c r="AA3281">
        <v>0</v>
      </c>
      <c r="AC3281">
        <v>31.36</v>
      </c>
    </row>
    <row r="3282" spans="1:29">
      <c r="A3282">
        <v>3275</v>
      </c>
      <c r="B3282">
        <v>4442</v>
      </c>
      <c r="C3282" t="s">
        <v>6805</v>
      </c>
      <c r="D3282" t="s">
        <v>205</v>
      </c>
      <c r="E3282" t="s">
        <v>122</v>
      </c>
      <c r="F3282" t="s">
        <v>6806</v>
      </c>
      <c r="G3282" t="str">
        <f>"201511028506"</f>
        <v>201511028506</v>
      </c>
      <c r="H3282">
        <v>19.2</v>
      </c>
      <c r="I3282">
        <v>0</v>
      </c>
      <c r="M3282">
        <v>0</v>
      </c>
      <c r="N3282">
        <v>4</v>
      </c>
      <c r="O3282">
        <v>2</v>
      </c>
      <c r="P3282">
        <v>25.2</v>
      </c>
      <c r="Q3282">
        <v>0</v>
      </c>
      <c r="R3282">
        <v>0</v>
      </c>
      <c r="S3282">
        <v>0</v>
      </c>
      <c r="T3282">
        <v>0</v>
      </c>
      <c r="U3282">
        <v>0</v>
      </c>
      <c r="V3282">
        <v>0</v>
      </c>
      <c r="W3282">
        <v>0</v>
      </c>
      <c r="X3282">
        <v>0</v>
      </c>
      <c r="Y3282">
        <v>0</v>
      </c>
      <c r="Z3282">
        <v>6</v>
      </c>
      <c r="AA3282">
        <v>0</v>
      </c>
      <c r="AC3282">
        <v>31.2</v>
      </c>
    </row>
    <row r="3283" spans="1:29">
      <c r="A3283">
        <v>3276</v>
      </c>
      <c r="B3283">
        <v>4900</v>
      </c>
      <c r="C3283" t="s">
        <v>561</v>
      </c>
      <c r="D3283" t="s">
        <v>27</v>
      </c>
      <c r="E3283" t="s">
        <v>36</v>
      </c>
      <c r="F3283" t="s">
        <v>6807</v>
      </c>
      <c r="G3283" t="str">
        <f>"00150593"</f>
        <v>00150593</v>
      </c>
      <c r="H3283">
        <v>7.2</v>
      </c>
      <c r="I3283">
        <v>10</v>
      </c>
      <c r="L3283">
        <v>4</v>
      </c>
      <c r="M3283">
        <v>4</v>
      </c>
      <c r="N3283">
        <v>4</v>
      </c>
      <c r="O3283">
        <v>0</v>
      </c>
      <c r="P3283">
        <v>25.2</v>
      </c>
      <c r="Q3283">
        <v>0</v>
      </c>
      <c r="R3283">
        <v>0</v>
      </c>
      <c r="S3283">
        <v>0</v>
      </c>
      <c r="T3283">
        <v>0</v>
      </c>
      <c r="U3283">
        <v>0</v>
      </c>
      <c r="V3283">
        <v>0</v>
      </c>
      <c r="W3283">
        <v>0</v>
      </c>
      <c r="X3283">
        <v>0</v>
      </c>
      <c r="Y3283">
        <v>0</v>
      </c>
      <c r="Z3283">
        <v>6</v>
      </c>
      <c r="AA3283">
        <v>0</v>
      </c>
      <c r="AC3283">
        <v>31.2</v>
      </c>
    </row>
    <row r="3284" spans="1:29">
      <c r="A3284">
        <v>3277</v>
      </c>
      <c r="B3284">
        <v>3636</v>
      </c>
      <c r="C3284" t="s">
        <v>6808</v>
      </c>
      <c r="D3284" t="s">
        <v>400</v>
      </c>
      <c r="E3284" t="s">
        <v>436</v>
      </c>
      <c r="F3284" t="s">
        <v>6809</v>
      </c>
      <c r="G3284" t="str">
        <f>"00439398"</f>
        <v>00439398</v>
      </c>
      <c r="H3284">
        <v>7.2</v>
      </c>
      <c r="I3284">
        <v>0</v>
      </c>
      <c r="L3284">
        <v>4</v>
      </c>
      <c r="M3284">
        <v>4</v>
      </c>
      <c r="N3284">
        <v>4</v>
      </c>
      <c r="O3284">
        <v>2</v>
      </c>
      <c r="P3284">
        <v>17.2</v>
      </c>
      <c r="Q3284">
        <v>8</v>
      </c>
      <c r="R3284">
        <v>8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8</v>
      </c>
      <c r="Z3284">
        <v>6</v>
      </c>
      <c r="AA3284">
        <v>0</v>
      </c>
      <c r="AC3284">
        <v>31.2</v>
      </c>
    </row>
    <row r="3285" spans="1:29">
      <c r="A3285">
        <v>3278</v>
      </c>
      <c r="B3285">
        <v>1988</v>
      </c>
      <c r="C3285" t="s">
        <v>6812</v>
      </c>
      <c r="D3285" t="s">
        <v>6813</v>
      </c>
      <c r="E3285" t="s">
        <v>165</v>
      </c>
      <c r="F3285" t="s">
        <v>6814</v>
      </c>
      <c r="G3285" t="str">
        <f>"00857571"</f>
        <v>00857571</v>
      </c>
      <c r="H3285">
        <v>31.2</v>
      </c>
      <c r="I3285">
        <v>0</v>
      </c>
      <c r="M3285">
        <v>0</v>
      </c>
      <c r="N3285">
        <v>0</v>
      </c>
      <c r="O3285">
        <v>0</v>
      </c>
      <c r="P3285">
        <v>31.2</v>
      </c>
      <c r="Q3285">
        <v>0</v>
      </c>
      <c r="R3285">
        <v>0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0</v>
      </c>
      <c r="Y3285">
        <v>0</v>
      </c>
      <c r="Z3285">
        <v>0</v>
      </c>
      <c r="AA3285">
        <v>0</v>
      </c>
      <c r="AC3285">
        <v>31.2</v>
      </c>
    </row>
    <row r="3286" spans="1:29">
      <c r="A3286">
        <v>3279</v>
      </c>
      <c r="B3286">
        <v>3440</v>
      </c>
      <c r="C3286" t="s">
        <v>6598</v>
      </c>
      <c r="D3286" t="s">
        <v>6810</v>
      </c>
      <c r="E3286" t="s">
        <v>1223</v>
      </c>
      <c r="F3286" t="s">
        <v>6811</v>
      </c>
      <c r="G3286" t="str">
        <f>"00677209"</f>
        <v>00677209</v>
      </c>
      <c r="H3286">
        <v>31.2</v>
      </c>
      <c r="I3286">
        <v>0</v>
      </c>
      <c r="M3286">
        <v>0</v>
      </c>
      <c r="N3286">
        <v>0</v>
      </c>
      <c r="O3286">
        <v>0</v>
      </c>
      <c r="P3286">
        <v>31.2</v>
      </c>
      <c r="Q3286">
        <v>0</v>
      </c>
      <c r="R3286">
        <v>0</v>
      </c>
      <c r="S3286">
        <v>0</v>
      </c>
      <c r="T3286">
        <v>0</v>
      </c>
      <c r="U3286">
        <v>0</v>
      </c>
      <c r="V3286">
        <v>0</v>
      </c>
      <c r="W3286">
        <v>0</v>
      </c>
      <c r="X3286">
        <v>0</v>
      </c>
      <c r="Y3286">
        <v>0</v>
      </c>
      <c r="Z3286">
        <v>0</v>
      </c>
      <c r="AA3286">
        <v>0</v>
      </c>
      <c r="AC3286">
        <v>31.2</v>
      </c>
    </row>
    <row r="3287" spans="1:29">
      <c r="A3287">
        <v>3280</v>
      </c>
      <c r="B3287">
        <v>1985</v>
      </c>
      <c r="C3287" t="s">
        <v>1303</v>
      </c>
      <c r="D3287" t="s">
        <v>27</v>
      </c>
      <c r="E3287" t="s">
        <v>60</v>
      </c>
      <c r="F3287" t="s">
        <v>6815</v>
      </c>
      <c r="G3287" t="str">
        <f>"00853901"</f>
        <v>00853901</v>
      </c>
      <c r="H3287">
        <v>27.2</v>
      </c>
      <c r="I3287">
        <v>0</v>
      </c>
      <c r="M3287">
        <v>0</v>
      </c>
      <c r="N3287">
        <v>4</v>
      </c>
      <c r="O3287">
        <v>0</v>
      </c>
      <c r="P3287">
        <v>31.2</v>
      </c>
      <c r="Q3287">
        <v>0</v>
      </c>
      <c r="R3287">
        <v>0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0</v>
      </c>
      <c r="Y3287">
        <v>0</v>
      </c>
      <c r="Z3287">
        <v>0</v>
      </c>
      <c r="AA3287">
        <v>0</v>
      </c>
      <c r="AC3287">
        <v>31.2</v>
      </c>
    </row>
    <row r="3288" spans="1:29">
      <c r="A3288">
        <v>3281</v>
      </c>
      <c r="B3288">
        <v>4342</v>
      </c>
      <c r="C3288" t="s">
        <v>6816</v>
      </c>
      <c r="D3288" t="s">
        <v>170</v>
      </c>
      <c r="E3288" t="s">
        <v>12</v>
      </c>
      <c r="F3288" t="s">
        <v>6817</v>
      </c>
      <c r="G3288" t="str">
        <f>"00522895"</f>
        <v>00522895</v>
      </c>
      <c r="H3288">
        <v>7.2</v>
      </c>
      <c r="I3288">
        <v>0</v>
      </c>
      <c r="M3288">
        <v>0</v>
      </c>
      <c r="N3288">
        <v>4</v>
      </c>
      <c r="O3288">
        <v>2</v>
      </c>
      <c r="P3288">
        <v>13.2</v>
      </c>
      <c r="Q3288">
        <v>18</v>
      </c>
      <c r="R3288">
        <v>18</v>
      </c>
      <c r="S3288">
        <v>0</v>
      </c>
      <c r="T3288">
        <v>0</v>
      </c>
      <c r="U3288">
        <v>0</v>
      </c>
      <c r="V3288">
        <v>0</v>
      </c>
      <c r="W3288">
        <v>0</v>
      </c>
      <c r="X3288">
        <v>0</v>
      </c>
      <c r="Y3288">
        <v>18</v>
      </c>
      <c r="Z3288">
        <v>0</v>
      </c>
      <c r="AA3288">
        <v>0</v>
      </c>
      <c r="AC3288">
        <v>31.2</v>
      </c>
    </row>
    <row r="3289" spans="1:29">
      <c r="A3289">
        <v>3282</v>
      </c>
      <c r="B3289">
        <v>133</v>
      </c>
      <c r="C3289" t="s">
        <v>6315</v>
      </c>
      <c r="D3289" t="s">
        <v>179</v>
      </c>
      <c r="E3289" t="s">
        <v>233</v>
      </c>
      <c r="F3289" t="s">
        <v>6818</v>
      </c>
      <c r="G3289" t="str">
        <f>"00554129"</f>
        <v>00554129</v>
      </c>
      <c r="H3289">
        <v>22.12</v>
      </c>
      <c r="I3289">
        <v>0</v>
      </c>
      <c r="M3289">
        <v>0</v>
      </c>
      <c r="N3289">
        <v>0</v>
      </c>
      <c r="O3289">
        <v>0</v>
      </c>
      <c r="P3289">
        <v>22.12</v>
      </c>
      <c r="Q3289">
        <v>0</v>
      </c>
      <c r="R3289">
        <v>0</v>
      </c>
      <c r="S3289">
        <v>0</v>
      </c>
      <c r="T3289">
        <v>0</v>
      </c>
      <c r="U3289">
        <v>0</v>
      </c>
      <c r="V3289">
        <v>0</v>
      </c>
      <c r="W3289">
        <v>0</v>
      </c>
      <c r="X3289">
        <v>0</v>
      </c>
      <c r="Y3289">
        <v>0</v>
      </c>
      <c r="Z3289">
        <v>9</v>
      </c>
      <c r="AA3289">
        <v>0</v>
      </c>
      <c r="AC3289">
        <v>31.12</v>
      </c>
    </row>
    <row r="3290" spans="1:29">
      <c r="A3290">
        <v>3283</v>
      </c>
      <c r="B3290">
        <v>1835</v>
      </c>
      <c r="C3290" t="s">
        <v>6708</v>
      </c>
      <c r="D3290" t="s">
        <v>24</v>
      </c>
      <c r="E3290" t="s">
        <v>15</v>
      </c>
      <c r="F3290" t="s">
        <v>6819</v>
      </c>
      <c r="G3290" t="str">
        <f>"00556226"</f>
        <v>00556226</v>
      </c>
      <c r="H3290">
        <v>22.12</v>
      </c>
      <c r="I3290">
        <v>0</v>
      </c>
      <c r="L3290">
        <v>4</v>
      </c>
      <c r="M3290">
        <v>4</v>
      </c>
      <c r="N3290">
        <v>0</v>
      </c>
      <c r="O3290">
        <v>2</v>
      </c>
      <c r="P3290">
        <v>28.12</v>
      </c>
      <c r="Q3290">
        <v>0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0</v>
      </c>
      <c r="X3290">
        <v>0</v>
      </c>
      <c r="Y3290">
        <v>0</v>
      </c>
      <c r="Z3290">
        <v>3</v>
      </c>
      <c r="AA3290">
        <v>0</v>
      </c>
      <c r="AC3290">
        <v>31.12</v>
      </c>
    </row>
    <row r="3291" spans="1:29">
      <c r="A3291">
        <v>3284</v>
      </c>
      <c r="B3291">
        <v>2265</v>
      </c>
      <c r="C3291" t="s">
        <v>6820</v>
      </c>
      <c r="D3291" t="s">
        <v>784</v>
      </c>
      <c r="E3291" t="s">
        <v>36</v>
      </c>
      <c r="F3291" t="s">
        <v>6821</v>
      </c>
      <c r="G3291" t="str">
        <f>"00360207"</f>
        <v>00360207</v>
      </c>
      <c r="H3291">
        <v>25.08</v>
      </c>
      <c r="I3291">
        <v>0</v>
      </c>
      <c r="M3291">
        <v>0</v>
      </c>
      <c r="N3291">
        <v>0</v>
      </c>
      <c r="O3291">
        <v>0</v>
      </c>
      <c r="P3291">
        <v>25.08</v>
      </c>
      <c r="Q3291">
        <v>0</v>
      </c>
      <c r="R3291">
        <v>0</v>
      </c>
      <c r="S3291">
        <v>0</v>
      </c>
      <c r="T3291">
        <v>0</v>
      </c>
      <c r="U3291">
        <v>0</v>
      </c>
      <c r="V3291">
        <v>0</v>
      </c>
      <c r="W3291">
        <v>0</v>
      </c>
      <c r="X3291">
        <v>0</v>
      </c>
      <c r="Y3291">
        <v>0</v>
      </c>
      <c r="Z3291">
        <v>6</v>
      </c>
      <c r="AA3291">
        <v>0</v>
      </c>
      <c r="AC3291">
        <v>31.08</v>
      </c>
    </row>
    <row r="3292" spans="1:29">
      <c r="A3292">
        <v>3285</v>
      </c>
      <c r="B3292">
        <v>1058</v>
      </c>
      <c r="C3292" t="s">
        <v>1228</v>
      </c>
      <c r="D3292" t="s">
        <v>6822</v>
      </c>
      <c r="E3292" t="s">
        <v>15</v>
      </c>
      <c r="F3292" t="s">
        <v>6823</v>
      </c>
      <c r="G3292" t="str">
        <f>"00530771"</f>
        <v>00530771</v>
      </c>
      <c r="H3292">
        <v>21.08</v>
      </c>
      <c r="I3292">
        <v>0</v>
      </c>
      <c r="M3292">
        <v>0</v>
      </c>
      <c r="N3292">
        <v>4</v>
      </c>
      <c r="O3292">
        <v>0</v>
      </c>
      <c r="P3292">
        <v>25.08</v>
      </c>
      <c r="Q3292">
        <v>0</v>
      </c>
      <c r="R3292">
        <v>0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0</v>
      </c>
      <c r="Z3292">
        <v>6</v>
      </c>
      <c r="AA3292">
        <v>0</v>
      </c>
      <c r="AC3292">
        <v>31.08</v>
      </c>
    </row>
    <row r="3293" spans="1:29">
      <c r="A3293">
        <v>3286</v>
      </c>
      <c r="B3293">
        <v>4671</v>
      </c>
      <c r="C3293" t="s">
        <v>6824</v>
      </c>
      <c r="D3293" t="s">
        <v>164</v>
      </c>
      <c r="E3293" t="s">
        <v>36</v>
      </c>
      <c r="F3293" t="s">
        <v>6825</v>
      </c>
      <c r="G3293" t="str">
        <f>"00651143"</f>
        <v>00651143</v>
      </c>
      <c r="H3293">
        <v>25.08</v>
      </c>
      <c r="I3293">
        <v>0</v>
      </c>
      <c r="M3293">
        <v>0</v>
      </c>
      <c r="N3293">
        <v>4</v>
      </c>
      <c r="O3293">
        <v>2</v>
      </c>
      <c r="P3293">
        <v>31.08</v>
      </c>
      <c r="Q3293">
        <v>0</v>
      </c>
      <c r="R3293">
        <v>0</v>
      </c>
      <c r="S3293">
        <v>0</v>
      </c>
      <c r="T3293">
        <v>0</v>
      </c>
      <c r="U3293">
        <v>0</v>
      </c>
      <c r="V3293">
        <v>0</v>
      </c>
      <c r="W3293">
        <v>0</v>
      </c>
      <c r="X3293">
        <v>0</v>
      </c>
      <c r="Y3293">
        <v>0</v>
      </c>
      <c r="Z3293">
        <v>0</v>
      </c>
      <c r="AA3293">
        <v>0</v>
      </c>
      <c r="AC3293">
        <v>31.08</v>
      </c>
    </row>
    <row r="3294" spans="1:29">
      <c r="A3294">
        <v>3287</v>
      </c>
      <c r="B3294">
        <v>718</v>
      </c>
      <c r="C3294" t="s">
        <v>6826</v>
      </c>
      <c r="D3294" t="s">
        <v>400</v>
      </c>
      <c r="E3294" t="s">
        <v>224</v>
      </c>
      <c r="F3294" t="s">
        <v>6827</v>
      </c>
      <c r="G3294" t="str">
        <f>"00511323"</f>
        <v>00511323</v>
      </c>
      <c r="H3294">
        <v>0</v>
      </c>
      <c r="I3294">
        <v>0</v>
      </c>
      <c r="J3294">
        <v>8</v>
      </c>
      <c r="M3294">
        <v>8</v>
      </c>
      <c r="N3294">
        <v>4</v>
      </c>
      <c r="O3294">
        <v>2</v>
      </c>
      <c r="P3294">
        <v>14</v>
      </c>
      <c r="Q3294">
        <v>11</v>
      </c>
      <c r="R3294">
        <v>11</v>
      </c>
      <c r="S3294">
        <v>0</v>
      </c>
      <c r="T3294">
        <v>0</v>
      </c>
      <c r="U3294">
        <v>0</v>
      </c>
      <c r="V3294">
        <v>0</v>
      </c>
      <c r="W3294">
        <v>0</v>
      </c>
      <c r="X3294">
        <v>0</v>
      </c>
      <c r="Y3294">
        <v>11</v>
      </c>
      <c r="Z3294">
        <v>6</v>
      </c>
      <c r="AA3294">
        <v>0</v>
      </c>
      <c r="AC3294">
        <v>31</v>
      </c>
    </row>
    <row r="3295" spans="1:29">
      <c r="A3295">
        <v>3288</v>
      </c>
      <c r="B3295">
        <v>3520</v>
      </c>
      <c r="C3295" t="s">
        <v>6828</v>
      </c>
      <c r="D3295" t="s">
        <v>27</v>
      </c>
      <c r="E3295" t="s">
        <v>165</v>
      </c>
      <c r="F3295" t="s">
        <v>6829</v>
      </c>
      <c r="G3295" t="str">
        <f>"00861459"</f>
        <v>00861459</v>
      </c>
      <c r="H3295">
        <v>24</v>
      </c>
      <c r="I3295">
        <v>0</v>
      </c>
      <c r="M3295">
        <v>0</v>
      </c>
      <c r="N3295">
        <v>4</v>
      </c>
      <c r="O3295">
        <v>0</v>
      </c>
      <c r="P3295">
        <v>28</v>
      </c>
      <c r="Q3295">
        <v>0</v>
      </c>
      <c r="R3295">
        <v>0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0</v>
      </c>
      <c r="Y3295">
        <v>0</v>
      </c>
      <c r="Z3295">
        <v>3</v>
      </c>
      <c r="AA3295">
        <v>0</v>
      </c>
      <c r="AC3295">
        <v>31</v>
      </c>
    </row>
    <row r="3296" spans="1:29">
      <c r="A3296">
        <v>3289</v>
      </c>
      <c r="B3296">
        <v>2422</v>
      </c>
      <c r="C3296" t="s">
        <v>2422</v>
      </c>
      <c r="D3296" t="s">
        <v>952</v>
      </c>
      <c r="E3296" t="s">
        <v>36</v>
      </c>
      <c r="F3296" t="s">
        <v>6830</v>
      </c>
      <c r="G3296" t="str">
        <f>"00502964"</f>
        <v>00502964</v>
      </c>
      <c r="H3296">
        <v>16</v>
      </c>
      <c r="I3296">
        <v>0</v>
      </c>
      <c r="L3296">
        <v>4</v>
      </c>
      <c r="M3296">
        <v>4</v>
      </c>
      <c r="N3296">
        <v>4</v>
      </c>
      <c r="O3296">
        <v>2</v>
      </c>
      <c r="P3296">
        <v>26</v>
      </c>
      <c r="Q3296">
        <v>5</v>
      </c>
      <c r="R3296">
        <v>5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5</v>
      </c>
      <c r="Z3296">
        <v>0</v>
      </c>
      <c r="AA3296">
        <v>0</v>
      </c>
      <c r="AC3296">
        <v>31</v>
      </c>
    </row>
    <row r="3297" spans="1:29">
      <c r="A3297">
        <v>3290</v>
      </c>
      <c r="B3297">
        <v>2696</v>
      </c>
      <c r="C3297" t="s">
        <v>2779</v>
      </c>
      <c r="D3297" t="s">
        <v>52</v>
      </c>
      <c r="E3297" t="s">
        <v>36</v>
      </c>
      <c r="F3297" t="s">
        <v>6831</v>
      </c>
      <c r="G3297" t="str">
        <f>"00865533"</f>
        <v>00865533</v>
      </c>
      <c r="H3297">
        <v>16</v>
      </c>
      <c r="I3297">
        <v>0</v>
      </c>
      <c r="M3297">
        <v>0</v>
      </c>
      <c r="N3297">
        <v>4</v>
      </c>
      <c r="O3297">
        <v>2</v>
      </c>
      <c r="P3297">
        <v>22</v>
      </c>
      <c r="Q3297">
        <v>9</v>
      </c>
      <c r="R3297">
        <v>9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9</v>
      </c>
      <c r="Z3297">
        <v>0</v>
      </c>
      <c r="AA3297">
        <v>0</v>
      </c>
      <c r="AC3297">
        <v>31</v>
      </c>
    </row>
    <row r="3298" spans="1:29">
      <c r="A3298">
        <v>3291</v>
      </c>
      <c r="B3298">
        <v>347</v>
      </c>
      <c r="C3298" t="s">
        <v>6832</v>
      </c>
      <c r="D3298" t="s">
        <v>6833</v>
      </c>
      <c r="E3298" t="s">
        <v>81</v>
      </c>
      <c r="F3298" t="s">
        <v>6834</v>
      </c>
      <c r="G3298" t="str">
        <f>"201502001323"</f>
        <v>201502001323</v>
      </c>
      <c r="H3298">
        <v>21</v>
      </c>
      <c r="I3298">
        <v>0</v>
      </c>
      <c r="M3298">
        <v>0</v>
      </c>
      <c r="N3298">
        <v>0</v>
      </c>
      <c r="O3298">
        <v>0</v>
      </c>
      <c r="P3298">
        <v>21</v>
      </c>
      <c r="Q3298">
        <v>10</v>
      </c>
      <c r="R3298">
        <v>10</v>
      </c>
      <c r="S3298">
        <v>0</v>
      </c>
      <c r="T3298">
        <v>0</v>
      </c>
      <c r="U3298">
        <v>0</v>
      </c>
      <c r="V3298">
        <v>0</v>
      </c>
      <c r="W3298">
        <v>0</v>
      </c>
      <c r="X3298">
        <v>0</v>
      </c>
      <c r="Y3298">
        <v>10</v>
      </c>
      <c r="Z3298">
        <v>0</v>
      </c>
      <c r="AA3298">
        <v>0</v>
      </c>
      <c r="AC3298">
        <v>31</v>
      </c>
    </row>
    <row r="3299" spans="1:29">
      <c r="A3299">
        <v>3292</v>
      </c>
      <c r="B3299">
        <v>1866</v>
      </c>
      <c r="C3299" t="s">
        <v>3864</v>
      </c>
      <c r="D3299" t="s">
        <v>98</v>
      </c>
      <c r="E3299" t="s">
        <v>115</v>
      </c>
      <c r="F3299" t="s">
        <v>6835</v>
      </c>
      <c r="G3299" t="str">
        <f>"00085896"</f>
        <v>00085896</v>
      </c>
      <c r="H3299">
        <v>26.92</v>
      </c>
      <c r="I3299">
        <v>0</v>
      </c>
      <c r="M3299">
        <v>0</v>
      </c>
      <c r="N3299">
        <v>4</v>
      </c>
      <c r="O3299">
        <v>0</v>
      </c>
      <c r="P3299">
        <v>30.92</v>
      </c>
      <c r="Q3299">
        <v>0</v>
      </c>
      <c r="R3299">
        <v>0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0</v>
      </c>
      <c r="Y3299">
        <v>0</v>
      </c>
      <c r="Z3299">
        <v>0</v>
      </c>
      <c r="AA3299">
        <v>0</v>
      </c>
      <c r="AC3299">
        <v>30.92</v>
      </c>
    </row>
    <row r="3300" spans="1:29">
      <c r="A3300">
        <v>3293</v>
      </c>
      <c r="B3300">
        <v>2557</v>
      </c>
      <c r="C3300" t="s">
        <v>3907</v>
      </c>
      <c r="D3300" t="s">
        <v>164</v>
      </c>
      <c r="E3300" t="s">
        <v>369</v>
      </c>
      <c r="F3300" t="s">
        <v>6836</v>
      </c>
      <c r="G3300" t="str">
        <f>"00557727"</f>
        <v>00557727</v>
      </c>
      <c r="H3300">
        <v>20.8</v>
      </c>
      <c r="I3300">
        <v>0</v>
      </c>
      <c r="L3300">
        <v>4</v>
      </c>
      <c r="M3300">
        <v>4</v>
      </c>
      <c r="N3300">
        <v>0</v>
      </c>
      <c r="O3300">
        <v>0</v>
      </c>
      <c r="P3300">
        <v>24.8</v>
      </c>
      <c r="Q3300">
        <v>0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0</v>
      </c>
      <c r="Z3300">
        <v>6</v>
      </c>
      <c r="AA3300">
        <v>0</v>
      </c>
      <c r="AC3300">
        <v>30.8</v>
      </c>
    </row>
    <row r="3301" spans="1:29">
      <c r="A3301">
        <v>3294</v>
      </c>
      <c r="B3301">
        <v>338</v>
      </c>
      <c r="C3301" t="s">
        <v>6837</v>
      </c>
      <c r="D3301" t="s">
        <v>6838</v>
      </c>
      <c r="E3301" t="s">
        <v>18</v>
      </c>
      <c r="F3301" t="s">
        <v>6839</v>
      </c>
      <c r="G3301" t="str">
        <f>"00858045"</f>
        <v>00858045</v>
      </c>
      <c r="H3301">
        <v>30.8</v>
      </c>
      <c r="I3301">
        <v>0</v>
      </c>
      <c r="M3301">
        <v>0</v>
      </c>
      <c r="N3301">
        <v>0</v>
      </c>
      <c r="O3301">
        <v>0</v>
      </c>
      <c r="P3301">
        <v>30.8</v>
      </c>
      <c r="Q3301">
        <v>0</v>
      </c>
      <c r="R3301">
        <v>0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0</v>
      </c>
      <c r="Y3301">
        <v>0</v>
      </c>
      <c r="Z3301">
        <v>0</v>
      </c>
      <c r="AA3301">
        <v>0</v>
      </c>
      <c r="AC3301">
        <v>30.8</v>
      </c>
    </row>
    <row r="3302" spans="1:29">
      <c r="A3302">
        <v>3295</v>
      </c>
      <c r="B3302">
        <v>4516</v>
      </c>
      <c r="C3302" t="s">
        <v>6840</v>
      </c>
      <c r="D3302" t="s">
        <v>276</v>
      </c>
      <c r="E3302" t="s">
        <v>122</v>
      </c>
      <c r="G3302" t="str">
        <f>"00769098"</f>
        <v>00769098</v>
      </c>
      <c r="H3302">
        <v>30.8</v>
      </c>
      <c r="I3302">
        <v>0</v>
      </c>
      <c r="M3302">
        <v>0</v>
      </c>
      <c r="N3302">
        <v>0</v>
      </c>
      <c r="O3302">
        <v>0</v>
      </c>
      <c r="P3302">
        <v>30.8</v>
      </c>
      <c r="Q3302">
        <v>0</v>
      </c>
      <c r="R3302">
        <v>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0</v>
      </c>
      <c r="Z3302">
        <v>0</v>
      </c>
      <c r="AA3302">
        <v>0</v>
      </c>
      <c r="AC3302">
        <v>30.8</v>
      </c>
    </row>
    <row r="3303" spans="1:29">
      <c r="A3303">
        <v>3296</v>
      </c>
      <c r="B3303">
        <v>41</v>
      </c>
      <c r="C3303" t="s">
        <v>178</v>
      </c>
      <c r="D3303" t="s">
        <v>130</v>
      </c>
      <c r="E3303" t="s">
        <v>18</v>
      </c>
      <c r="F3303" t="s">
        <v>6841</v>
      </c>
      <c r="G3303" t="str">
        <f>"00246830"</f>
        <v>00246830</v>
      </c>
      <c r="H3303">
        <v>26.8</v>
      </c>
      <c r="I3303">
        <v>0</v>
      </c>
      <c r="L3303">
        <v>4</v>
      </c>
      <c r="M3303">
        <v>4</v>
      </c>
      <c r="N3303">
        <v>0</v>
      </c>
      <c r="O3303">
        <v>0</v>
      </c>
      <c r="P3303">
        <v>30.8</v>
      </c>
      <c r="Q3303">
        <v>0</v>
      </c>
      <c r="R3303">
        <v>0</v>
      </c>
      <c r="S3303">
        <v>0</v>
      </c>
      <c r="T3303">
        <v>0</v>
      </c>
      <c r="U3303">
        <v>0</v>
      </c>
      <c r="V3303">
        <v>0</v>
      </c>
      <c r="W3303">
        <v>0</v>
      </c>
      <c r="X3303">
        <v>0</v>
      </c>
      <c r="Y3303">
        <v>0</v>
      </c>
      <c r="Z3303">
        <v>0</v>
      </c>
      <c r="AA3303">
        <v>0</v>
      </c>
      <c r="AC3303">
        <v>30.8</v>
      </c>
    </row>
    <row r="3304" spans="1:29">
      <c r="A3304">
        <v>3297</v>
      </c>
      <c r="B3304">
        <v>3861</v>
      </c>
      <c r="C3304" t="s">
        <v>6842</v>
      </c>
      <c r="D3304" t="s">
        <v>3960</v>
      </c>
      <c r="E3304" t="s">
        <v>15</v>
      </c>
      <c r="F3304" t="s">
        <v>6843</v>
      </c>
      <c r="G3304" t="str">
        <f>"00534324"</f>
        <v>00534324</v>
      </c>
      <c r="H3304">
        <v>24.8</v>
      </c>
      <c r="I3304">
        <v>0</v>
      </c>
      <c r="M3304">
        <v>0</v>
      </c>
      <c r="N3304">
        <v>4</v>
      </c>
      <c r="O3304">
        <v>2</v>
      </c>
      <c r="P3304">
        <v>30.8</v>
      </c>
      <c r="Q3304">
        <v>0</v>
      </c>
      <c r="R3304">
        <v>0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0</v>
      </c>
      <c r="Y3304">
        <v>0</v>
      </c>
      <c r="Z3304">
        <v>0</v>
      </c>
      <c r="AA3304">
        <v>0</v>
      </c>
      <c r="AC3304">
        <v>30.8</v>
      </c>
    </row>
    <row r="3305" spans="1:29">
      <c r="A3305">
        <v>3298</v>
      </c>
      <c r="B3305">
        <v>4793</v>
      </c>
      <c r="C3305" t="s">
        <v>543</v>
      </c>
      <c r="D3305" t="s">
        <v>145</v>
      </c>
      <c r="E3305" t="s">
        <v>533</v>
      </c>
      <c r="F3305" t="s">
        <v>6844</v>
      </c>
      <c r="G3305" t="str">
        <f>"00865664"</f>
        <v>00865664</v>
      </c>
      <c r="H3305">
        <v>20.8</v>
      </c>
      <c r="I3305">
        <v>10</v>
      </c>
      <c r="M3305">
        <v>0</v>
      </c>
      <c r="N3305">
        <v>0</v>
      </c>
      <c r="O3305">
        <v>0</v>
      </c>
      <c r="P3305">
        <v>30.8</v>
      </c>
      <c r="Q3305">
        <v>0</v>
      </c>
      <c r="R3305">
        <v>0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0</v>
      </c>
      <c r="Y3305">
        <v>0</v>
      </c>
      <c r="Z3305">
        <v>0</v>
      </c>
      <c r="AA3305">
        <v>0</v>
      </c>
      <c r="AC3305">
        <v>30.8</v>
      </c>
    </row>
    <row r="3306" spans="1:29">
      <c r="A3306">
        <v>3299</v>
      </c>
      <c r="B3306">
        <v>2915</v>
      </c>
      <c r="C3306" t="s">
        <v>6845</v>
      </c>
      <c r="D3306" t="s">
        <v>98</v>
      </c>
      <c r="E3306" t="s">
        <v>227</v>
      </c>
      <c r="F3306" t="s">
        <v>6846</v>
      </c>
      <c r="G3306" t="str">
        <f>"00861699"</f>
        <v>00861699</v>
      </c>
      <c r="H3306">
        <v>18.68</v>
      </c>
      <c r="I3306">
        <v>0</v>
      </c>
      <c r="J3306">
        <v>8</v>
      </c>
      <c r="M3306">
        <v>8</v>
      </c>
      <c r="N3306">
        <v>4</v>
      </c>
      <c r="O3306">
        <v>0</v>
      </c>
      <c r="P3306">
        <v>30.68</v>
      </c>
      <c r="Q3306">
        <v>0</v>
      </c>
      <c r="R3306">
        <v>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0</v>
      </c>
      <c r="Y3306">
        <v>0</v>
      </c>
      <c r="Z3306">
        <v>0</v>
      </c>
      <c r="AA3306">
        <v>0</v>
      </c>
      <c r="AC3306">
        <v>30.68</v>
      </c>
    </row>
    <row r="3307" spans="1:29">
      <c r="A3307">
        <v>3300</v>
      </c>
      <c r="B3307">
        <v>2377</v>
      </c>
      <c r="C3307" t="s">
        <v>6847</v>
      </c>
      <c r="D3307" t="s">
        <v>1474</v>
      </c>
      <c r="E3307" t="s">
        <v>165</v>
      </c>
      <c r="F3307" t="s">
        <v>6848</v>
      </c>
      <c r="G3307" t="str">
        <f>"00856217"</f>
        <v>00856217</v>
      </c>
      <c r="H3307">
        <v>21.6</v>
      </c>
      <c r="I3307">
        <v>0</v>
      </c>
      <c r="M3307">
        <v>0</v>
      </c>
      <c r="N3307">
        <v>0</v>
      </c>
      <c r="O3307">
        <v>0</v>
      </c>
      <c r="P3307">
        <v>21.6</v>
      </c>
      <c r="Q3307">
        <v>0</v>
      </c>
      <c r="R3307">
        <v>0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0</v>
      </c>
      <c r="Y3307">
        <v>0</v>
      </c>
      <c r="Z3307">
        <v>9</v>
      </c>
      <c r="AA3307">
        <v>0</v>
      </c>
      <c r="AC3307">
        <v>30.6</v>
      </c>
    </row>
    <row r="3308" spans="1:29">
      <c r="A3308">
        <v>3301</v>
      </c>
      <c r="B3308">
        <v>1471</v>
      </c>
      <c r="C3308" t="s">
        <v>6849</v>
      </c>
      <c r="D3308" t="s">
        <v>6850</v>
      </c>
      <c r="E3308" t="s">
        <v>18</v>
      </c>
      <c r="F3308" t="s">
        <v>6851</v>
      </c>
      <c r="G3308" t="str">
        <f>"00364498"</f>
        <v>00364498</v>
      </c>
      <c r="H3308">
        <v>27.6</v>
      </c>
      <c r="I3308">
        <v>0</v>
      </c>
      <c r="M3308">
        <v>0</v>
      </c>
      <c r="N3308">
        <v>0</v>
      </c>
      <c r="O3308">
        <v>0</v>
      </c>
      <c r="P3308">
        <v>27.6</v>
      </c>
      <c r="Q3308">
        <v>0</v>
      </c>
      <c r="R3308">
        <v>0</v>
      </c>
      <c r="S3308">
        <v>0</v>
      </c>
      <c r="T3308">
        <v>0</v>
      </c>
      <c r="U3308">
        <v>0</v>
      </c>
      <c r="V3308">
        <v>0</v>
      </c>
      <c r="W3308">
        <v>0</v>
      </c>
      <c r="X3308">
        <v>0</v>
      </c>
      <c r="Y3308">
        <v>0</v>
      </c>
      <c r="Z3308">
        <v>3</v>
      </c>
      <c r="AA3308">
        <v>0</v>
      </c>
      <c r="AC3308">
        <v>30.6</v>
      </c>
    </row>
    <row r="3309" spans="1:29">
      <c r="A3309">
        <v>3302</v>
      </c>
      <c r="B3309">
        <v>2684</v>
      </c>
      <c r="C3309" t="s">
        <v>2353</v>
      </c>
      <c r="D3309" t="s">
        <v>205</v>
      </c>
      <c r="E3309" t="s">
        <v>237</v>
      </c>
      <c r="F3309" t="s">
        <v>6852</v>
      </c>
      <c r="G3309" t="str">
        <f>"00531758"</f>
        <v>00531758</v>
      </c>
      <c r="H3309">
        <v>21.6</v>
      </c>
      <c r="I3309">
        <v>0</v>
      </c>
      <c r="L3309">
        <v>4</v>
      </c>
      <c r="M3309">
        <v>4</v>
      </c>
      <c r="N3309">
        <v>0</v>
      </c>
      <c r="O3309">
        <v>0</v>
      </c>
      <c r="P3309">
        <v>25.6</v>
      </c>
      <c r="Q3309">
        <v>5</v>
      </c>
      <c r="R3309">
        <v>5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5</v>
      </c>
      <c r="Z3309">
        <v>0</v>
      </c>
      <c r="AA3309">
        <v>0</v>
      </c>
      <c r="AC3309">
        <v>30.6</v>
      </c>
    </row>
    <row r="3310" spans="1:29">
      <c r="A3310">
        <v>3303</v>
      </c>
      <c r="B3310">
        <v>3382</v>
      </c>
      <c r="C3310" t="s">
        <v>6853</v>
      </c>
      <c r="D3310" t="s">
        <v>5272</v>
      </c>
      <c r="E3310" t="s">
        <v>6854</v>
      </c>
      <c r="F3310" t="s">
        <v>6855</v>
      </c>
      <c r="G3310" t="str">
        <f>"00247616"</f>
        <v>00247616</v>
      </c>
      <c r="H3310">
        <v>23.56</v>
      </c>
      <c r="I3310">
        <v>0</v>
      </c>
      <c r="M3310">
        <v>0</v>
      </c>
      <c r="N3310">
        <v>4</v>
      </c>
      <c r="O3310">
        <v>0</v>
      </c>
      <c r="P3310">
        <v>27.56</v>
      </c>
      <c r="Q3310">
        <v>0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0</v>
      </c>
      <c r="Z3310">
        <v>3</v>
      </c>
      <c r="AA3310">
        <v>0</v>
      </c>
      <c r="AC3310">
        <v>30.56</v>
      </c>
    </row>
    <row r="3311" spans="1:29">
      <c r="A3311">
        <v>3304</v>
      </c>
      <c r="B3311">
        <v>2823</v>
      </c>
      <c r="C3311" t="s">
        <v>6856</v>
      </c>
      <c r="D3311" t="s">
        <v>295</v>
      </c>
      <c r="E3311" t="s">
        <v>79</v>
      </c>
      <c r="F3311" t="s">
        <v>6857</v>
      </c>
      <c r="G3311" t="str">
        <f>"00583615"</f>
        <v>00583615</v>
      </c>
      <c r="H3311">
        <v>24.56</v>
      </c>
      <c r="I3311">
        <v>0</v>
      </c>
      <c r="M3311">
        <v>0</v>
      </c>
      <c r="N3311">
        <v>4</v>
      </c>
      <c r="O3311">
        <v>2</v>
      </c>
      <c r="P3311">
        <v>30.56</v>
      </c>
      <c r="Q3311">
        <v>0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0</v>
      </c>
      <c r="Z3311">
        <v>0</v>
      </c>
      <c r="AA3311">
        <v>0</v>
      </c>
      <c r="AC3311">
        <v>30.56</v>
      </c>
    </row>
    <row r="3312" spans="1:29">
      <c r="A3312">
        <v>3305</v>
      </c>
      <c r="B3312">
        <v>2252</v>
      </c>
      <c r="C3312" t="s">
        <v>6352</v>
      </c>
      <c r="D3312" t="s">
        <v>27</v>
      </c>
      <c r="E3312" t="s">
        <v>36</v>
      </c>
      <c r="F3312" t="s">
        <v>6858</v>
      </c>
      <c r="G3312" t="str">
        <f>"00860669"</f>
        <v>00860669</v>
      </c>
      <c r="H3312">
        <v>12.52</v>
      </c>
      <c r="I3312">
        <v>0</v>
      </c>
      <c r="J3312">
        <v>8</v>
      </c>
      <c r="M3312">
        <v>8</v>
      </c>
      <c r="N3312">
        <v>4</v>
      </c>
      <c r="O3312">
        <v>0</v>
      </c>
      <c r="P3312">
        <v>24.52</v>
      </c>
      <c r="Q3312">
        <v>0</v>
      </c>
      <c r="R3312">
        <v>0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0</v>
      </c>
      <c r="Y3312">
        <v>0</v>
      </c>
      <c r="Z3312">
        <v>6</v>
      </c>
      <c r="AA3312">
        <v>0</v>
      </c>
      <c r="AC3312">
        <v>30.52</v>
      </c>
    </row>
    <row r="3313" spans="1:29">
      <c r="A3313">
        <v>3306</v>
      </c>
      <c r="B3313">
        <v>1358</v>
      </c>
      <c r="C3313" t="s">
        <v>6859</v>
      </c>
      <c r="D3313" t="s">
        <v>39</v>
      </c>
      <c r="E3313" t="s">
        <v>6860</v>
      </c>
      <c r="F3313" t="s">
        <v>6861</v>
      </c>
      <c r="G3313" t="str">
        <f>"00858718"</f>
        <v>00858718</v>
      </c>
      <c r="H3313">
        <v>30.52</v>
      </c>
      <c r="I3313">
        <v>0</v>
      </c>
      <c r="M3313">
        <v>0</v>
      </c>
      <c r="N3313">
        <v>0</v>
      </c>
      <c r="O3313">
        <v>0</v>
      </c>
      <c r="P3313">
        <v>30.52</v>
      </c>
      <c r="Q3313">
        <v>0</v>
      </c>
      <c r="R3313">
        <v>0</v>
      </c>
      <c r="S3313">
        <v>0</v>
      </c>
      <c r="T3313">
        <v>0</v>
      </c>
      <c r="U3313">
        <v>0</v>
      </c>
      <c r="V3313">
        <v>0</v>
      </c>
      <c r="W3313">
        <v>0</v>
      </c>
      <c r="X3313">
        <v>0</v>
      </c>
      <c r="Y3313">
        <v>0</v>
      </c>
      <c r="Z3313">
        <v>0</v>
      </c>
      <c r="AA3313">
        <v>0</v>
      </c>
      <c r="AC3313">
        <v>30.52</v>
      </c>
    </row>
    <row r="3314" spans="1:29">
      <c r="A3314">
        <v>3307</v>
      </c>
      <c r="B3314">
        <v>1991</v>
      </c>
      <c r="C3314" t="s">
        <v>6862</v>
      </c>
      <c r="D3314" t="s">
        <v>145</v>
      </c>
      <c r="E3314" t="s">
        <v>333</v>
      </c>
      <c r="F3314" t="s">
        <v>6863</v>
      </c>
      <c r="G3314" t="str">
        <f>"00654313"</f>
        <v>00654313</v>
      </c>
      <c r="H3314">
        <v>20.399999999999999</v>
      </c>
      <c r="I3314">
        <v>0</v>
      </c>
      <c r="M3314">
        <v>0</v>
      </c>
      <c r="N3314">
        <v>4</v>
      </c>
      <c r="O3314">
        <v>0</v>
      </c>
      <c r="P3314">
        <v>24.4</v>
      </c>
      <c r="Q3314">
        <v>0</v>
      </c>
      <c r="R3314">
        <v>0</v>
      </c>
      <c r="S3314">
        <v>0</v>
      </c>
      <c r="T3314">
        <v>0</v>
      </c>
      <c r="U3314">
        <v>0</v>
      </c>
      <c r="V3314">
        <v>0</v>
      </c>
      <c r="W3314">
        <v>0</v>
      </c>
      <c r="X3314">
        <v>0</v>
      </c>
      <c r="Y3314">
        <v>0</v>
      </c>
      <c r="Z3314">
        <v>6</v>
      </c>
      <c r="AA3314">
        <v>0</v>
      </c>
      <c r="AC3314">
        <v>30.4</v>
      </c>
    </row>
    <row r="3315" spans="1:29">
      <c r="A3315">
        <v>3308</v>
      </c>
      <c r="B3315">
        <v>3042</v>
      </c>
      <c r="C3315" t="s">
        <v>6871</v>
      </c>
      <c r="D3315" t="s">
        <v>52</v>
      </c>
      <c r="E3315" t="s">
        <v>66</v>
      </c>
      <c r="F3315" t="s">
        <v>6872</v>
      </c>
      <c r="G3315" t="str">
        <f>"00863480"</f>
        <v>00863480</v>
      </c>
      <c r="H3315">
        <v>14.4</v>
      </c>
      <c r="I3315">
        <v>10</v>
      </c>
      <c r="M3315">
        <v>0</v>
      </c>
      <c r="N3315">
        <v>0</v>
      </c>
      <c r="O3315">
        <v>0</v>
      </c>
      <c r="P3315">
        <v>24.4</v>
      </c>
      <c r="Q3315">
        <v>0</v>
      </c>
      <c r="R3315">
        <v>0</v>
      </c>
      <c r="S3315">
        <v>0</v>
      </c>
      <c r="T3315">
        <v>0</v>
      </c>
      <c r="U3315">
        <v>0</v>
      </c>
      <c r="V3315">
        <v>0</v>
      </c>
      <c r="W3315">
        <v>0</v>
      </c>
      <c r="X3315">
        <v>0</v>
      </c>
      <c r="Y3315">
        <v>0</v>
      </c>
      <c r="Z3315">
        <v>6</v>
      </c>
      <c r="AA3315">
        <v>0</v>
      </c>
      <c r="AC3315">
        <v>30.4</v>
      </c>
    </row>
    <row r="3316" spans="1:29">
      <c r="A3316">
        <v>3309</v>
      </c>
      <c r="B3316">
        <v>1730</v>
      </c>
      <c r="C3316" t="s">
        <v>1915</v>
      </c>
      <c r="D3316" t="s">
        <v>52</v>
      </c>
      <c r="E3316" t="s">
        <v>122</v>
      </c>
      <c r="F3316" t="s">
        <v>6864</v>
      </c>
      <c r="G3316" t="str">
        <f>"00130435"</f>
        <v>00130435</v>
      </c>
      <c r="H3316">
        <v>14.4</v>
      </c>
      <c r="I3316">
        <v>0</v>
      </c>
      <c r="L3316">
        <v>4</v>
      </c>
      <c r="M3316">
        <v>4</v>
      </c>
      <c r="N3316">
        <v>4</v>
      </c>
      <c r="O3316">
        <v>2</v>
      </c>
      <c r="P3316">
        <v>24.4</v>
      </c>
      <c r="Q3316">
        <v>0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0</v>
      </c>
      <c r="Z3316">
        <v>6</v>
      </c>
      <c r="AA3316">
        <v>0</v>
      </c>
      <c r="AC3316">
        <v>30.4</v>
      </c>
    </row>
    <row r="3317" spans="1:29">
      <c r="A3317">
        <v>3310</v>
      </c>
      <c r="B3317">
        <v>350</v>
      </c>
      <c r="C3317" t="s">
        <v>6865</v>
      </c>
      <c r="D3317" t="s">
        <v>1138</v>
      </c>
      <c r="E3317" t="s">
        <v>79</v>
      </c>
      <c r="F3317" t="s">
        <v>6866</v>
      </c>
      <c r="G3317" t="str">
        <f>"00618935"</f>
        <v>00618935</v>
      </c>
      <c r="H3317">
        <v>14.4</v>
      </c>
      <c r="I3317">
        <v>0</v>
      </c>
      <c r="L3317">
        <v>4</v>
      </c>
      <c r="M3317">
        <v>4</v>
      </c>
      <c r="N3317">
        <v>4</v>
      </c>
      <c r="O3317">
        <v>2</v>
      </c>
      <c r="P3317">
        <v>24.4</v>
      </c>
      <c r="Q3317">
        <v>0</v>
      </c>
      <c r="R3317">
        <v>0</v>
      </c>
      <c r="S3317">
        <v>0</v>
      </c>
      <c r="T3317">
        <v>0</v>
      </c>
      <c r="U3317">
        <v>0</v>
      </c>
      <c r="V3317">
        <v>0</v>
      </c>
      <c r="W3317">
        <v>0</v>
      </c>
      <c r="X3317">
        <v>0</v>
      </c>
      <c r="Y3317">
        <v>0</v>
      </c>
      <c r="Z3317">
        <v>6</v>
      </c>
      <c r="AA3317">
        <v>0</v>
      </c>
      <c r="AC3317">
        <v>30.4</v>
      </c>
    </row>
    <row r="3318" spans="1:29">
      <c r="A3318">
        <v>3311</v>
      </c>
      <c r="B3318">
        <v>3595</v>
      </c>
      <c r="C3318" t="s">
        <v>6869</v>
      </c>
      <c r="D3318" t="s">
        <v>185</v>
      </c>
      <c r="E3318" t="s">
        <v>15</v>
      </c>
      <c r="F3318" t="s">
        <v>6870</v>
      </c>
      <c r="G3318" t="str">
        <f>"00237859"</f>
        <v>00237859</v>
      </c>
      <c r="H3318">
        <v>14.4</v>
      </c>
      <c r="I3318">
        <v>10</v>
      </c>
      <c r="M3318">
        <v>0</v>
      </c>
      <c r="N3318">
        <v>0</v>
      </c>
      <c r="O3318">
        <v>0</v>
      </c>
      <c r="P3318">
        <v>24.4</v>
      </c>
      <c r="Q3318">
        <v>0</v>
      </c>
      <c r="R3318">
        <v>0</v>
      </c>
      <c r="S3318">
        <v>0</v>
      </c>
      <c r="T3318">
        <v>0</v>
      </c>
      <c r="U3318">
        <v>0</v>
      </c>
      <c r="V3318">
        <v>0</v>
      </c>
      <c r="W3318">
        <v>0</v>
      </c>
      <c r="X3318">
        <v>0</v>
      </c>
      <c r="Y3318">
        <v>0</v>
      </c>
      <c r="Z3318">
        <v>6</v>
      </c>
      <c r="AA3318">
        <v>0</v>
      </c>
      <c r="AC3318">
        <v>30.4</v>
      </c>
    </row>
    <row r="3319" spans="1:29">
      <c r="A3319">
        <v>3312</v>
      </c>
      <c r="B3319">
        <v>3304</v>
      </c>
      <c r="C3319" t="s">
        <v>6867</v>
      </c>
      <c r="D3319" t="s">
        <v>261</v>
      </c>
      <c r="E3319" t="s">
        <v>6868</v>
      </c>
      <c r="G3319" t="str">
        <f>"00863965"</f>
        <v>00863965</v>
      </c>
      <c r="H3319">
        <v>14.4</v>
      </c>
      <c r="I3319">
        <v>0</v>
      </c>
      <c r="J3319">
        <v>8</v>
      </c>
      <c r="M3319">
        <v>8</v>
      </c>
      <c r="N3319">
        <v>0</v>
      </c>
      <c r="O3319">
        <v>2</v>
      </c>
      <c r="P3319">
        <v>24.4</v>
      </c>
      <c r="Q3319">
        <v>0</v>
      </c>
      <c r="R3319">
        <v>0</v>
      </c>
      <c r="S3319">
        <v>0</v>
      </c>
      <c r="T3319">
        <v>0</v>
      </c>
      <c r="U3319">
        <v>0</v>
      </c>
      <c r="V3319">
        <v>0</v>
      </c>
      <c r="W3319">
        <v>0</v>
      </c>
      <c r="X3319">
        <v>0</v>
      </c>
      <c r="Y3319">
        <v>0</v>
      </c>
      <c r="Z3319">
        <v>6</v>
      </c>
      <c r="AA3319">
        <v>0</v>
      </c>
      <c r="AC3319">
        <v>30.4</v>
      </c>
    </row>
    <row r="3320" spans="1:29">
      <c r="A3320">
        <v>3313</v>
      </c>
      <c r="B3320">
        <v>496</v>
      </c>
      <c r="C3320" t="s">
        <v>2888</v>
      </c>
      <c r="D3320" t="s">
        <v>20</v>
      </c>
      <c r="E3320" t="s">
        <v>77</v>
      </c>
      <c r="F3320" t="s">
        <v>6873</v>
      </c>
      <c r="G3320" t="str">
        <f>"00532003"</f>
        <v>00532003</v>
      </c>
      <c r="H3320">
        <v>14.4</v>
      </c>
      <c r="I3320">
        <v>0</v>
      </c>
      <c r="K3320">
        <v>6</v>
      </c>
      <c r="L3320">
        <v>4</v>
      </c>
      <c r="M3320">
        <v>10</v>
      </c>
      <c r="N3320">
        <v>0</v>
      </c>
      <c r="O3320">
        <v>0</v>
      </c>
      <c r="P3320">
        <v>24.4</v>
      </c>
      <c r="Q3320">
        <v>0</v>
      </c>
      <c r="R3320">
        <v>0</v>
      </c>
      <c r="S3320">
        <v>0</v>
      </c>
      <c r="T3320">
        <v>0</v>
      </c>
      <c r="U3320">
        <v>0</v>
      </c>
      <c r="V3320">
        <v>0</v>
      </c>
      <c r="W3320">
        <v>0</v>
      </c>
      <c r="X3320">
        <v>0</v>
      </c>
      <c r="Y3320">
        <v>0</v>
      </c>
      <c r="Z3320">
        <v>6</v>
      </c>
      <c r="AA3320">
        <v>0</v>
      </c>
      <c r="AC3320">
        <v>30.4</v>
      </c>
    </row>
    <row r="3321" spans="1:29">
      <c r="A3321">
        <v>3314</v>
      </c>
      <c r="B3321">
        <v>552</v>
      </c>
      <c r="C3321" t="s">
        <v>6874</v>
      </c>
      <c r="D3321" t="s">
        <v>27</v>
      </c>
      <c r="E3321" t="s">
        <v>1272</v>
      </c>
      <c r="F3321" t="s">
        <v>6875</v>
      </c>
      <c r="G3321" t="str">
        <f>"00556517"</f>
        <v>00556517</v>
      </c>
      <c r="H3321">
        <v>22.4</v>
      </c>
      <c r="I3321">
        <v>0</v>
      </c>
      <c r="M3321">
        <v>0</v>
      </c>
      <c r="N3321">
        <v>0</v>
      </c>
      <c r="O3321">
        <v>0</v>
      </c>
      <c r="P3321">
        <v>22.4</v>
      </c>
      <c r="Q3321">
        <v>5</v>
      </c>
      <c r="R3321">
        <v>5</v>
      </c>
      <c r="S3321">
        <v>0</v>
      </c>
      <c r="T3321">
        <v>0</v>
      </c>
      <c r="U3321">
        <v>0</v>
      </c>
      <c r="V3321">
        <v>0</v>
      </c>
      <c r="W3321">
        <v>0</v>
      </c>
      <c r="X3321">
        <v>0</v>
      </c>
      <c r="Y3321">
        <v>5</v>
      </c>
      <c r="Z3321">
        <v>3</v>
      </c>
      <c r="AA3321">
        <v>0</v>
      </c>
      <c r="AC3321">
        <v>30.4</v>
      </c>
    </row>
    <row r="3322" spans="1:29">
      <c r="A3322">
        <v>3315</v>
      </c>
      <c r="B3322">
        <v>2332</v>
      </c>
      <c r="C3322" t="s">
        <v>6876</v>
      </c>
      <c r="D3322" t="s">
        <v>6877</v>
      </c>
      <c r="E3322" t="s">
        <v>190</v>
      </c>
      <c r="F3322" t="s">
        <v>6878</v>
      </c>
      <c r="G3322" t="str">
        <f>"00533081"</f>
        <v>00533081</v>
      </c>
      <c r="H3322">
        <v>14.4</v>
      </c>
      <c r="I3322">
        <v>0</v>
      </c>
      <c r="M3322">
        <v>0</v>
      </c>
      <c r="N3322">
        <v>4</v>
      </c>
      <c r="O3322">
        <v>2</v>
      </c>
      <c r="P3322">
        <v>20.399999999999999</v>
      </c>
      <c r="Q3322">
        <v>7</v>
      </c>
      <c r="R3322">
        <v>7</v>
      </c>
      <c r="S3322">
        <v>0</v>
      </c>
      <c r="T3322">
        <v>0</v>
      </c>
      <c r="U3322">
        <v>0</v>
      </c>
      <c r="V3322">
        <v>0</v>
      </c>
      <c r="W3322">
        <v>0</v>
      </c>
      <c r="X3322">
        <v>0</v>
      </c>
      <c r="Y3322">
        <v>7</v>
      </c>
      <c r="Z3322">
        <v>3</v>
      </c>
      <c r="AA3322">
        <v>0</v>
      </c>
      <c r="AC3322">
        <v>30.4</v>
      </c>
    </row>
    <row r="3323" spans="1:29">
      <c r="A3323">
        <v>3316</v>
      </c>
      <c r="B3323">
        <v>4650</v>
      </c>
      <c r="C3323" t="s">
        <v>475</v>
      </c>
      <c r="D3323" t="s">
        <v>6879</v>
      </c>
      <c r="E3323" t="s">
        <v>79</v>
      </c>
      <c r="F3323" t="s">
        <v>6880</v>
      </c>
      <c r="G3323" t="str">
        <f>"00866821"</f>
        <v>00866821</v>
      </c>
      <c r="H3323">
        <v>30.4</v>
      </c>
      <c r="I3323">
        <v>0</v>
      </c>
      <c r="M3323">
        <v>0</v>
      </c>
      <c r="N3323">
        <v>0</v>
      </c>
      <c r="O3323">
        <v>0</v>
      </c>
      <c r="P3323">
        <v>30.4</v>
      </c>
      <c r="Q3323">
        <v>0</v>
      </c>
      <c r="R3323">
        <v>0</v>
      </c>
      <c r="S3323">
        <v>0</v>
      </c>
      <c r="T3323">
        <v>0</v>
      </c>
      <c r="U3323">
        <v>0</v>
      </c>
      <c r="V3323">
        <v>0</v>
      </c>
      <c r="W3323">
        <v>0</v>
      </c>
      <c r="X3323">
        <v>0</v>
      </c>
      <c r="Y3323">
        <v>0</v>
      </c>
      <c r="Z3323">
        <v>0</v>
      </c>
      <c r="AA3323">
        <v>0</v>
      </c>
      <c r="AC3323">
        <v>30.4</v>
      </c>
    </row>
    <row r="3324" spans="1:29">
      <c r="A3324">
        <v>3317</v>
      </c>
      <c r="B3324">
        <v>4561</v>
      </c>
      <c r="C3324" t="s">
        <v>6881</v>
      </c>
      <c r="D3324" t="s">
        <v>6882</v>
      </c>
      <c r="E3324" t="s">
        <v>6883</v>
      </c>
      <c r="F3324">
        <v>640962691</v>
      </c>
      <c r="G3324" t="str">
        <f>"00866119"</f>
        <v>00866119</v>
      </c>
      <c r="H3324">
        <v>28.4</v>
      </c>
      <c r="I3324">
        <v>0</v>
      </c>
      <c r="M3324">
        <v>0</v>
      </c>
      <c r="N3324">
        <v>0</v>
      </c>
      <c r="O3324">
        <v>2</v>
      </c>
      <c r="P3324">
        <v>30.4</v>
      </c>
      <c r="Q3324">
        <v>0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0</v>
      </c>
      <c r="Z3324">
        <v>0</v>
      </c>
      <c r="AA3324">
        <v>0</v>
      </c>
      <c r="AC3324">
        <v>30.4</v>
      </c>
    </row>
    <row r="3325" spans="1:29">
      <c r="A3325">
        <v>3318</v>
      </c>
      <c r="B3325">
        <v>3599</v>
      </c>
      <c r="C3325" t="s">
        <v>6884</v>
      </c>
      <c r="D3325" t="s">
        <v>400</v>
      </c>
      <c r="E3325" t="s">
        <v>53</v>
      </c>
      <c r="F3325" t="s">
        <v>6885</v>
      </c>
      <c r="G3325" t="str">
        <f>"00809396"</f>
        <v>00809396</v>
      </c>
      <c r="H3325">
        <v>20.399999999999999</v>
      </c>
      <c r="I3325">
        <v>10</v>
      </c>
      <c r="M3325">
        <v>0</v>
      </c>
      <c r="N3325">
        <v>0</v>
      </c>
      <c r="O3325">
        <v>0</v>
      </c>
      <c r="P3325">
        <v>30.4</v>
      </c>
      <c r="Q3325">
        <v>0</v>
      </c>
      <c r="R3325">
        <v>0</v>
      </c>
      <c r="S3325">
        <v>0</v>
      </c>
      <c r="T3325">
        <v>0</v>
      </c>
      <c r="U3325">
        <v>0</v>
      </c>
      <c r="V3325">
        <v>0</v>
      </c>
      <c r="W3325">
        <v>0</v>
      </c>
      <c r="X3325">
        <v>0</v>
      </c>
      <c r="Y3325">
        <v>0</v>
      </c>
      <c r="Z3325">
        <v>0</v>
      </c>
      <c r="AA3325">
        <v>0</v>
      </c>
      <c r="AC3325">
        <v>30.4</v>
      </c>
    </row>
    <row r="3326" spans="1:29">
      <c r="A3326">
        <v>3319</v>
      </c>
      <c r="B3326">
        <v>3391</v>
      </c>
      <c r="C3326" t="s">
        <v>6886</v>
      </c>
      <c r="D3326" t="s">
        <v>52</v>
      </c>
      <c r="E3326" t="s">
        <v>99</v>
      </c>
      <c r="F3326" t="s">
        <v>6887</v>
      </c>
      <c r="G3326" t="str">
        <f>"00510289"</f>
        <v>00510289</v>
      </c>
      <c r="H3326">
        <v>14.4</v>
      </c>
      <c r="I3326">
        <v>0</v>
      </c>
      <c r="J3326">
        <v>8</v>
      </c>
      <c r="L3326">
        <v>4</v>
      </c>
      <c r="M3326">
        <v>12</v>
      </c>
      <c r="N3326">
        <v>4</v>
      </c>
      <c r="O3326">
        <v>0</v>
      </c>
      <c r="P3326">
        <v>30.4</v>
      </c>
      <c r="Q3326">
        <v>0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0</v>
      </c>
      <c r="Z3326">
        <v>0</v>
      </c>
      <c r="AA3326">
        <v>0</v>
      </c>
      <c r="AC3326">
        <v>30.4</v>
      </c>
    </row>
    <row r="3327" spans="1:29">
      <c r="A3327">
        <v>3320</v>
      </c>
      <c r="B3327">
        <v>2897</v>
      </c>
      <c r="C3327" t="s">
        <v>72</v>
      </c>
      <c r="D3327" t="s">
        <v>336</v>
      </c>
      <c r="E3327" t="s">
        <v>15</v>
      </c>
      <c r="F3327" t="s">
        <v>6888</v>
      </c>
      <c r="G3327" t="str">
        <f>"00694699"</f>
        <v>00694699</v>
      </c>
      <c r="H3327">
        <v>16.36</v>
      </c>
      <c r="I3327">
        <v>10</v>
      </c>
      <c r="M3327">
        <v>0</v>
      </c>
      <c r="N3327">
        <v>4</v>
      </c>
      <c r="O3327">
        <v>0</v>
      </c>
      <c r="P3327">
        <v>30.36</v>
      </c>
      <c r="Q3327">
        <v>0</v>
      </c>
      <c r="R3327">
        <v>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0</v>
      </c>
      <c r="Y3327">
        <v>0</v>
      </c>
      <c r="Z3327">
        <v>0</v>
      </c>
      <c r="AA3327">
        <v>0</v>
      </c>
      <c r="AC3327">
        <v>30.36</v>
      </c>
    </row>
    <row r="3328" spans="1:29">
      <c r="A3328">
        <v>3321</v>
      </c>
      <c r="B3328">
        <v>3285</v>
      </c>
      <c r="C3328" t="s">
        <v>6889</v>
      </c>
      <c r="D3328" t="s">
        <v>6890</v>
      </c>
      <c r="E3328" t="s">
        <v>66</v>
      </c>
      <c r="F3328" t="s">
        <v>6891</v>
      </c>
      <c r="G3328" t="str">
        <f>"00665373"</f>
        <v>00665373</v>
      </c>
      <c r="H3328">
        <v>27.28</v>
      </c>
      <c r="I3328">
        <v>0</v>
      </c>
      <c r="M3328">
        <v>0</v>
      </c>
      <c r="N3328">
        <v>0</v>
      </c>
      <c r="O3328">
        <v>0</v>
      </c>
      <c r="P3328">
        <v>27.28</v>
      </c>
      <c r="Q3328">
        <v>0</v>
      </c>
      <c r="R3328">
        <v>0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0</v>
      </c>
      <c r="Y3328">
        <v>0</v>
      </c>
      <c r="Z3328">
        <v>3</v>
      </c>
      <c r="AA3328">
        <v>0</v>
      </c>
      <c r="AC3328">
        <v>30.28</v>
      </c>
    </row>
    <row r="3329" spans="1:29">
      <c r="A3329">
        <v>3322</v>
      </c>
      <c r="B3329">
        <v>4584</v>
      </c>
      <c r="C3329" t="s">
        <v>6523</v>
      </c>
      <c r="D3329" t="s">
        <v>159</v>
      </c>
      <c r="E3329" t="s">
        <v>15</v>
      </c>
      <c r="F3329" t="s">
        <v>6892</v>
      </c>
      <c r="G3329" t="str">
        <f>"00750751"</f>
        <v>00750751</v>
      </c>
      <c r="H3329">
        <v>26.2</v>
      </c>
      <c r="I3329">
        <v>0</v>
      </c>
      <c r="M3329">
        <v>0</v>
      </c>
      <c r="N3329">
        <v>4</v>
      </c>
      <c r="O3329">
        <v>0</v>
      </c>
      <c r="P3329">
        <v>30.2</v>
      </c>
      <c r="Q3329">
        <v>0</v>
      </c>
      <c r="R3329">
        <v>0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0</v>
      </c>
      <c r="Y3329">
        <v>0</v>
      </c>
      <c r="Z3329">
        <v>0</v>
      </c>
      <c r="AA3329">
        <v>0</v>
      </c>
      <c r="AC3329">
        <v>30.2</v>
      </c>
    </row>
    <row r="3330" spans="1:29">
      <c r="A3330">
        <v>3323</v>
      </c>
      <c r="B3330">
        <v>2588</v>
      </c>
      <c r="C3330" t="s">
        <v>556</v>
      </c>
      <c r="D3330" t="s">
        <v>167</v>
      </c>
      <c r="E3330" t="s">
        <v>66</v>
      </c>
      <c r="F3330" t="s">
        <v>6893</v>
      </c>
      <c r="G3330" t="str">
        <f>"00484368"</f>
        <v>00484368</v>
      </c>
      <c r="H3330">
        <v>7.2</v>
      </c>
      <c r="I3330">
        <v>0</v>
      </c>
      <c r="J3330">
        <v>8</v>
      </c>
      <c r="M3330">
        <v>8</v>
      </c>
      <c r="N3330">
        <v>4</v>
      </c>
      <c r="O3330">
        <v>0</v>
      </c>
      <c r="P3330">
        <v>19.2</v>
      </c>
      <c r="Q3330">
        <v>11</v>
      </c>
      <c r="R3330">
        <v>11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0</v>
      </c>
      <c r="Y3330">
        <v>11</v>
      </c>
      <c r="Z3330">
        <v>0</v>
      </c>
      <c r="AA3330">
        <v>0</v>
      </c>
      <c r="AC3330">
        <v>30.2</v>
      </c>
    </row>
    <row r="3331" spans="1:29">
      <c r="A3331">
        <v>3324</v>
      </c>
      <c r="B3331">
        <v>327</v>
      </c>
      <c r="C3331" t="s">
        <v>4631</v>
      </c>
      <c r="D3331" t="s">
        <v>108</v>
      </c>
      <c r="E3331" t="s">
        <v>79</v>
      </c>
      <c r="F3331" t="s">
        <v>6894</v>
      </c>
      <c r="G3331" t="str">
        <f>"00513740"</f>
        <v>00513740</v>
      </c>
      <c r="H3331">
        <v>18.16</v>
      </c>
      <c r="I3331">
        <v>0</v>
      </c>
      <c r="M3331">
        <v>0</v>
      </c>
      <c r="N3331">
        <v>4</v>
      </c>
      <c r="O3331">
        <v>2</v>
      </c>
      <c r="P3331">
        <v>24.16</v>
      </c>
      <c r="Q3331">
        <v>0</v>
      </c>
      <c r="R3331">
        <v>0</v>
      </c>
      <c r="S3331">
        <v>0</v>
      </c>
      <c r="T3331">
        <v>0</v>
      </c>
      <c r="U3331">
        <v>0</v>
      </c>
      <c r="V3331">
        <v>0</v>
      </c>
      <c r="W3331">
        <v>0</v>
      </c>
      <c r="X3331">
        <v>0</v>
      </c>
      <c r="Y3331">
        <v>0</v>
      </c>
      <c r="Z3331">
        <v>6</v>
      </c>
      <c r="AA3331">
        <v>0</v>
      </c>
      <c r="AC3331">
        <v>30.16</v>
      </c>
    </row>
    <row r="3332" spans="1:29">
      <c r="A3332">
        <v>3325</v>
      </c>
      <c r="B3332">
        <v>1750</v>
      </c>
      <c r="C3332" t="s">
        <v>6895</v>
      </c>
      <c r="D3332" t="s">
        <v>24</v>
      </c>
      <c r="E3332" t="s">
        <v>134</v>
      </c>
      <c r="F3332" t="s">
        <v>6896</v>
      </c>
      <c r="G3332" t="str">
        <f>"00529892"</f>
        <v>00529892</v>
      </c>
      <c r="H3332">
        <v>13.16</v>
      </c>
      <c r="I3332">
        <v>0</v>
      </c>
      <c r="M3332">
        <v>0</v>
      </c>
      <c r="N3332">
        <v>0</v>
      </c>
      <c r="O3332">
        <v>0</v>
      </c>
      <c r="P3332">
        <v>13.16</v>
      </c>
      <c r="Q3332">
        <v>7</v>
      </c>
      <c r="R3332">
        <v>7</v>
      </c>
      <c r="S3332">
        <v>0</v>
      </c>
      <c r="T3332">
        <v>0</v>
      </c>
      <c r="U3332">
        <v>7</v>
      </c>
      <c r="V3332">
        <v>10</v>
      </c>
      <c r="W3332">
        <v>0</v>
      </c>
      <c r="X3332">
        <v>0</v>
      </c>
      <c r="Y3332">
        <v>17</v>
      </c>
      <c r="Z3332">
        <v>0</v>
      </c>
      <c r="AA3332">
        <v>0</v>
      </c>
      <c r="AC3332">
        <v>30.16</v>
      </c>
    </row>
    <row r="3333" spans="1:29">
      <c r="A3333">
        <v>3326</v>
      </c>
      <c r="B3333">
        <v>3915</v>
      </c>
      <c r="C3333" t="s">
        <v>6897</v>
      </c>
      <c r="D3333" t="s">
        <v>27</v>
      </c>
      <c r="E3333" t="s">
        <v>233</v>
      </c>
      <c r="F3333" t="s">
        <v>6898</v>
      </c>
      <c r="G3333" t="str">
        <f>"00863779"</f>
        <v>00863779</v>
      </c>
      <c r="H3333">
        <v>27.08</v>
      </c>
      <c r="I3333">
        <v>0</v>
      </c>
      <c r="M3333">
        <v>0</v>
      </c>
      <c r="N3333">
        <v>0</v>
      </c>
      <c r="O3333">
        <v>0</v>
      </c>
      <c r="P3333">
        <v>27.08</v>
      </c>
      <c r="Q3333">
        <v>0</v>
      </c>
      <c r="R3333">
        <v>0</v>
      </c>
      <c r="S3333">
        <v>0</v>
      </c>
      <c r="T3333">
        <v>0</v>
      </c>
      <c r="U3333">
        <v>0</v>
      </c>
      <c r="V3333">
        <v>0</v>
      </c>
      <c r="W3333">
        <v>0</v>
      </c>
      <c r="X3333">
        <v>0</v>
      </c>
      <c r="Y3333">
        <v>0</v>
      </c>
      <c r="Z3333">
        <v>3</v>
      </c>
      <c r="AA3333">
        <v>0</v>
      </c>
      <c r="AC3333">
        <v>30.08</v>
      </c>
    </row>
    <row r="3334" spans="1:29">
      <c r="A3334">
        <v>3327</v>
      </c>
      <c r="B3334">
        <v>331</v>
      </c>
      <c r="C3334" t="s">
        <v>3235</v>
      </c>
      <c r="D3334" t="s">
        <v>185</v>
      </c>
      <c r="E3334" t="s">
        <v>99</v>
      </c>
      <c r="F3334" t="s">
        <v>6899</v>
      </c>
      <c r="G3334" t="str">
        <f>"00556282"</f>
        <v>00556282</v>
      </c>
      <c r="H3334">
        <v>25.08</v>
      </c>
      <c r="I3334">
        <v>0</v>
      </c>
      <c r="M3334">
        <v>0</v>
      </c>
      <c r="N3334">
        <v>0</v>
      </c>
      <c r="O3334">
        <v>2</v>
      </c>
      <c r="P3334">
        <v>27.08</v>
      </c>
      <c r="Q3334">
        <v>0</v>
      </c>
      <c r="R3334">
        <v>0</v>
      </c>
      <c r="S3334">
        <v>0</v>
      </c>
      <c r="T3334">
        <v>0</v>
      </c>
      <c r="U3334">
        <v>0</v>
      </c>
      <c r="V3334">
        <v>0</v>
      </c>
      <c r="W3334">
        <v>0</v>
      </c>
      <c r="X3334">
        <v>0</v>
      </c>
      <c r="Y3334">
        <v>0</v>
      </c>
      <c r="Z3334">
        <v>3</v>
      </c>
      <c r="AA3334">
        <v>0</v>
      </c>
      <c r="AC3334">
        <v>30.08</v>
      </c>
    </row>
    <row r="3335" spans="1:29">
      <c r="A3335">
        <v>3328</v>
      </c>
      <c r="B3335">
        <v>4247</v>
      </c>
      <c r="C3335" t="s">
        <v>6900</v>
      </c>
      <c r="D3335" t="s">
        <v>27</v>
      </c>
      <c r="E3335" t="s">
        <v>15</v>
      </c>
      <c r="F3335" t="s">
        <v>6901</v>
      </c>
      <c r="G3335" t="str">
        <f>"201511033946"</f>
        <v>201511033946</v>
      </c>
      <c r="H3335">
        <v>26</v>
      </c>
      <c r="I3335">
        <v>0</v>
      </c>
      <c r="M3335">
        <v>0</v>
      </c>
      <c r="N3335">
        <v>4</v>
      </c>
      <c r="O3335">
        <v>0</v>
      </c>
      <c r="P3335">
        <v>30</v>
      </c>
      <c r="Q3335">
        <v>0</v>
      </c>
      <c r="R3335">
        <v>0</v>
      </c>
      <c r="S3335">
        <v>0</v>
      </c>
      <c r="T3335">
        <v>0</v>
      </c>
      <c r="U3335">
        <v>0</v>
      </c>
      <c r="V3335">
        <v>0</v>
      </c>
      <c r="W3335">
        <v>0</v>
      </c>
      <c r="X3335">
        <v>0</v>
      </c>
      <c r="Y3335">
        <v>0</v>
      </c>
      <c r="Z3335">
        <v>0</v>
      </c>
      <c r="AA3335">
        <v>0</v>
      </c>
      <c r="AC3335">
        <v>30</v>
      </c>
    </row>
    <row r="3336" spans="1:29">
      <c r="A3336">
        <v>3329</v>
      </c>
      <c r="B3336">
        <v>4976</v>
      </c>
      <c r="C3336" t="s">
        <v>6902</v>
      </c>
      <c r="D3336" t="s">
        <v>86</v>
      </c>
      <c r="E3336" t="s">
        <v>15</v>
      </c>
      <c r="F3336" t="s">
        <v>6903</v>
      </c>
      <c r="G3336" t="str">
        <f>"00531102"</f>
        <v>00531102</v>
      </c>
      <c r="H3336">
        <v>0</v>
      </c>
      <c r="I3336">
        <v>10</v>
      </c>
      <c r="M3336">
        <v>0</v>
      </c>
      <c r="N3336">
        <v>4</v>
      </c>
      <c r="O3336">
        <v>2</v>
      </c>
      <c r="P3336">
        <v>16</v>
      </c>
      <c r="Q3336">
        <v>14</v>
      </c>
      <c r="R3336">
        <v>14</v>
      </c>
      <c r="S3336">
        <v>0</v>
      </c>
      <c r="T3336">
        <v>0</v>
      </c>
      <c r="U3336">
        <v>0</v>
      </c>
      <c r="V3336">
        <v>0</v>
      </c>
      <c r="W3336">
        <v>0</v>
      </c>
      <c r="X3336">
        <v>0</v>
      </c>
      <c r="Y3336">
        <v>14</v>
      </c>
      <c r="Z3336">
        <v>0</v>
      </c>
      <c r="AA3336">
        <v>0</v>
      </c>
      <c r="AC3336">
        <v>30</v>
      </c>
    </row>
    <row r="3337" spans="1:29">
      <c r="A3337">
        <v>3330</v>
      </c>
      <c r="B3337">
        <v>3410</v>
      </c>
      <c r="C3337" t="s">
        <v>6904</v>
      </c>
      <c r="D3337" t="s">
        <v>27</v>
      </c>
      <c r="E3337" t="s">
        <v>227</v>
      </c>
      <c r="F3337" t="s">
        <v>6905</v>
      </c>
      <c r="G3337" t="str">
        <f>"00531491"</f>
        <v>00531491</v>
      </c>
      <c r="H3337">
        <v>0</v>
      </c>
      <c r="I3337">
        <v>0</v>
      </c>
      <c r="L3337">
        <v>4</v>
      </c>
      <c r="M3337">
        <v>4</v>
      </c>
      <c r="N3337">
        <v>0</v>
      </c>
      <c r="O3337">
        <v>2</v>
      </c>
      <c r="P3337">
        <v>6</v>
      </c>
      <c r="Q3337">
        <v>24</v>
      </c>
      <c r="R3337">
        <v>24</v>
      </c>
      <c r="S3337">
        <v>0</v>
      </c>
      <c r="T3337">
        <v>0</v>
      </c>
      <c r="U3337">
        <v>0</v>
      </c>
      <c r="V3337">
        <v>0</v>
      </c>
      <c r="W3337">
        <v>0</v>
      </c>
      <c r="X3337">
        <v>0</v>
      </c>
      <c r="Y3337">
        <v>24</v>
      </c>
      <c r="Z3337">
        <v>0</v>
      </c>
      <c r="AA3337">
        <v>0</v>
      </c>
      <c r="AC3337">
        <v>30</v>
      </c>
    </row>
    <row r="3338" spans="1:29">
      <c r="A3338">
        <v>3331</v>
      </c>
      <c r="B3338">
        <v>388</v>
      </c>
      <c r="C3338" t="s">
        <v>6906</v>
      </c>
      <c r="D3338" t="s">
        <v>49</v>
      </c>
      <c r="E3338" t="s">
        <v>15</v>
      </c>
      <c r="F3338" t="s">
        <v>6907</v>
      </c>
      <c r="G3338" t="str">
        <f>"00520770"</f>
        <v>00520770</v>
      </c>
      <c r="H3338">
        <v>22.92</v>
      </c>
      <c r="I3338">
        <v>0</v>
      </c>
      <c r="M3338">
        <v>0</v>
      </c>
      <c r="N3338">
        <v>0</v>
      </c>
      <c r="O3338">
        <v>0</v>
      </c>
      <c r="P3338">
        <v>22.92</v>
      </c>
      <c r="Q3338">
        <v>1</v>
      </c>
      <c r="R3338">
        <v>1</v>
      </c>
      <c r="S3338">
        <v>0</v>
      </c>
      <c r="T3338">
        <v>0</v>
      </c>
      <c r="U3338">
        <v>0</v>
      </c>
      <c r="V3338">
        <v>0</v>
      </c>
      <c r="W3338">
        <v>0</v>
      </c>
      <c r="X3338">
        <v>0</v>
      </c>
      <c r="Y3338">
        <v>1</v>
      </c>
      <c r="Z3338">
        <v>6</v>
      </c>
      <c r="AA3338">
        <v>0</v>
      </c>
      <c r="AC3338">
        <v>29.92</v>
      </c>
    </row>
    <row r="3339" spans="1:29">
      <c r="A3339">
        <v>3332</v>
      </c>
      <c r="B3339">
        <v>4624</v>
      </c>
      <c r="C3339" t="s">
        <v>6908</v>
      </c>
      <c r="D3339" t="s">
        <v>130</v>
      </c>
      <c r="E3339" t="s">
        <v>79</v>
      </c>
      <c r="F3339" t="s">
        <v>6909</v>
      </c>
      <c r="G3339" t="str">
        <f>"00688858"</f>
        <v>00688858</v>
      </c>
      <c r="H3339">
        <v>26.92</v>
      </c>
      <c r="I3339">
        <v>0</v>
      </c>
      <c r="M3339">
        <v>0</v>
      </c>
      <c r="N3339">
        <v>0</v>
      </c>
      <c r="O3339">
        <v>0</v>
      </c>
      <c r="P3339">
        <v>26.92</v>
      </c>
      <c r="Q3339">
        <v>0</v>
      </c>
      <c r="R3339">
        <v>0</v>
      </c>
      <c r="S3339">
        <v>0</v>
      </c>
      <c r="T3339">
        <v>0</v>
      </c>
      <c r="U3339">
        <v>0</v>
      </c>
      <c r="V3339">
        <v>0</v>
      </c>
      <c r="W3339">
        <v>0</v>
      </c>
      <c r="X3339">
        <v>0</v>
      </c>
      <c r="Y3339">
        <v>0</v>
      </c>
      <c r="Z3339">
        <v>3</v>
      </c>
      <c r="AA3339">
        <v>0</v>
      </c>
      <c r="AC3339">
        <v>29.92</v>
      </c>
    </row>
    <row r="3340" spans="1:29">
      <c r="A3340">
        <v>3333</v>
      </c>
      <c r="B3340">
        <v>3992</v>
      </c>
      <c r="C3340" t="s">
        <v>6082</v>
      </c>
      <c r="D3340" t="s">
        <v>113</v>
      </c>
      <c r="E3340" t="s">
        <v>5330</v>
      </c>
      <c r="F3340" t="s">
        <v>6910</v>
      </c>
      <c r="G3340" t="str">
        <f>"00777377"</f>
        <v>00777377</v>
      </c>
      <c r="H3340">
        <v>24.92</v>
      </c>
      <c r="I3340">
        <v>0</v>
      </c>
      <c r="M3340">
        <v>0</v>
      </c>
      <c r="N3340">
        <v>0</v>
      </c>
      <c r="O3340">
        <v>2</v>
      </c>
      <c r="P3340">
        <v>26.92</v>
      </c>
      <c r="Q3340">
        <v>0</v>
      </c>
      <c r="R3340">
        <v>0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0</v>
      </c>
      <c r="Y3340">
        <v>0</v>
      </c>
      <c r="Z3340">
        <v>3</v>
      </c>
      <c r="AA3340">
        <v>0</v>
      </c>
      <c r="AC3340">
        <v>29.92</v>
      </c>
    </row>
    <row r="3341" spans="1:29">
      <c r="A3341">
        <v>3334</v>
      </c>
      <c r="B3341">
        <v>3263</v>
      </c>
      <c r="C3341" t="s">
        <v>6911</v>
      </c>
      <c r="D3341" t="s">
        <v>784</v>
      </c>
      <c r="E3341" t="s">
        <v>6002</v>
      </c>
      <c r="F3341" t="s">
        <v>6912</v>
      </c>
      <c r="G3341" t="str">
        <f>"00530679"</f>
        <v>00530679</v>
      </c>
      <c r="H3341">
        <v>23.72</v>
      </c>
      <c r="I3341">
        <v>0</v>
      </c>
      <c r="M3341">
        <v>0</v>
      </c>
      <c r="N3341">
        <v>0</v>
      </c>
      <c r="O3341">
        <v>0</v>
      </c>
      <c r="P3341">
        <v>23.72</v>
      </c>
      <c r="Q3341">
        <v>0</v>
      </c>
      <c r="R3341">
        <v>0</v>
      </c>
      <c r="S3341">
        <v>0</v>
      </c>
      <c r="T3341">
        <v>0</v>
      </c>
      <c r="U3341">
        <v>0</v>
      </c>
      <c r="V3341">
        <v>0</v>
      </c>
      <c r="W3341">
        <v>0</v>
      </c>
      <c r="X3341">
        <v>0</v>
      </c>
      <c r="Y3341">
        <v>0</v>
      </c>
      <c r="Z3341">
        <v>6</v>
      </c>
      <c r="AA3341">
        <v>0</v>
      </c>
      <c r="AC3341">
        <v>29.72</v>
      </c>
    </row>
    <row r="3342" spans="1:29">
      <c r="A3342">
        <v>3335</v>
      </c>
      <c r="B3342">
        <v>2372</v>
      </c>
      <c r="C3342" t="s">
        <v>5189</v>
      </c>
      <c r="D3342" t="s">
        <v>6913</v>
      </c>
      <c r="E3342" t="s">
        <v>79</v>
      </c>
      <c r="F3342" t="s">
        <v>6914</v>
      </c>
      <c r="G3342" t="str">
        <f>"00327899"</f>
        <v>00327899</v>
      </c>
      <c r="H3342">
        <v>21.6</v>
      </c>
      <c r="I3342">
        <v>0</v>
      </c>
      <c r="M3342">
        <v>0</v>
      </c>
      <c r="N3342">
        <v>0</v>
      </c>
      <c r="O3342">
        <v>2</v>
      </c>
      <c r="P3342">
        <v>23.6</v>
      </c>
      <c r="Q3342">
        <v>0</v>
      </c>
      <c r="R3342">
        <v>0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0</v>
      </c>
      <c r="Y3342">
        <v>0</v>
      </c>
      <c r="Z3342">
        <v>6</v>
      </c>
      <c r="AA3342">
        <v>0</v>
      </c>
      <c r="AC3342">
        <v>29.6</v>
      </c>
    </row>
    <row r="3343" spans="1:29">
      <c r="A3343">
        <v>3336</v>
      </c>
      <c r="B3343">
        <v>2238</v>
      </c>
      <c r="C3343" t="s">
        <v>4345</v>
      </c>
      <c r="D3343" t="s">
        <v>3193</v>
      </c>
      <c r="E3343" t="s">
        <v>647</v>
      </c>
      <c r="F3343" t="s">
        <v>6915</v>
      </c>
      <c r="G3343" t="str">
        <f>"00862270"</f>
        <v>00862270</v>
      </c>
      <c r="H3343">
        <v>29.6</v>
      </c>
      <c r="I3343">
        <v>0</v>
      </c>
      <c r="M3343">
        <v>0</v>
      </c>
      <c r="N3343">
        <v>0</v>
      </c>
      <c r="O3343">
        <v>0</v>
      </c>
      <c r="P3343">
        <v>29.6</v>
      </c>
      <c r="Q3343">
        <v>0</v>
      </c>
      <c r="R3343">
        <v>0</v>
      </c>
      <c r="S3343">
        <v>0</v>
      </c>
      <c r="T3343">
        <v>0</v>
      </c>
      <c r="U3343">
        <v>0</v>
      </c>
      <c r="V3343">
        <v>0</v>
      </c>
      <c r="W3343">
        <v>0</v>
      </c>
      <c r="X3343">
        <v>0</v>
      </c>
      <c r="Y3343">
        <v>0</v>
      </c>
      <c r="Z3343">
        <v>0</v>
      </c>
      <c r="AA3343">
        <v>0</v>
      </c>
      <c r="AC3343">
        <v>29.6</v>
      </c>
    </row>
    <row r="3344" spans="1:29">
      <c r="A3344">
        <v>3337</v>
      </c>
      <c r="B3344">
        <v>405</v>
      </c>
      <c r="C3344" t="s">
        <v>6916</v>
      </c>
      <c r="D3344" t="s">
        <v>811</v>
      </c>
      <c r="E3344" t="s">
        <v>1236</v>
      </c>
      <c r="F3344" t="s">
        <v>6917</v>
      </c>
      <c r="G3344" t="str">
        <f>"00555057"</f>
        <v>00555057</v>
      </c>
      <c r="H3344">
        <v>29.6</v>
      </c>
      <c r="I3344">
        <v>0</v>
      </c>
      <c r="M3344">
        <v>0</v>
      </c>
      <c r="N3344">
        <v>0</v>
      </c>
      <c r="O3344">
        <v>0</v>
      </c>
      <c r="P3344">
        <v>29.6</v>
      </c>
      <c r="Q3344">
        <v>0</v>
      </c>
      <c r="R3344">
        <v>0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  <c r="Y3344">
        <v>0</v>
      </c>
      <c r="Z3344">
        <v>0</v>
      </c>
      <c r="AA3344">
        <v>0</v>
      </c>
      <c r="AC3344">
        <v>29.6</v>
      </c>
    </row>
    <row r="3345" spans="1:29">
      <c r="A3345">
        <v>3338</v>
      </c>
      <c r="B3345">
        <v>4314</v>
      </c>
      <c r="C3345" t="s">
        <v>1242</v>
      </c>
      <c r="D3345" t="s">
        <v>4984</v>
      </c>
      <c r="E3345" t="s">
        <v>15</v>
      </c>
      <c r="F3345" t="s">
        <v>6918</v>
      </c>
      <c r="G3345" t="str">
        <f>"00557551"</f>
        <v>00557551</v>
      </c>
      <c r="H3345">
        <v>25.6</v>
      </c>
      <c r="I3345">
        <v>0</v>
      </c>
      <c r="L3345">
        <v>4</v>
      </c>
      <c r="M3345">
        <v>4</v>
      </c>
      <c r="N3345">
        <v>0</v>
      </c>
      <c r="O3345">
        <v>0</v>
      </c>
      <c r="P3345">
        <v>29.6</v>
      </c>
      <c r="Q3345">
        <v>0</v>
      </c>
      <c r="R3345">
        <v>0</v>
      </c>
      <c r="S3345">
        <v>0</v>
      </c>
      <c r="T3345">
        <v>0</v>
      </c>
      <c r="U3345">
        <v>0</v>
      </c>
      <c r="V3345">
        <v>0</v>
      </c>
      <c r="W3345">
        <v>0</v>
      </c>
      <c r="X3345">
        <v>0</v>
      </c>
      <c r="Y3345">
        <v>0</v>
      </c>
      <c r="Z3345">
        <v>0</v>
      </c>
      <c r="AA3345">
        <v>0</v>
      </c>
      <c r="AC3345">
        <v>29.6</v>
      </c>
    </row>
    <row r="3346" spans="1:29">
      <c r="A3346">
        <v>3339</v>
      </c>
      <c r="B3346">
        <v>882</v>
      </c>
      <c r="C3346" t="s">
        <v>2422</v>
      </c>
      <c r="D3346" t="s">
        <v>179</v>
      </c>
      <c r="E3346" t="s">
        <v>18</v>
      </c>
      <c r="F3346" t="s">
        <v>6937</v>
      </c>
      <c r="G3346" t="str">
        <f>"00459162"</f>
        <v>00459162</v>
      </c>
      <c r="H3346">
        <v>21.6</v>
      </c>
      <c r="I3346">
        <v>0</v>
      </c>
      <c r="L3346">
        <v>4</v>
      </c>
      <c r="M3346">
        <v>4</v>
      </c>
      <c r="N3346">
        <v>4</v>
      </c>
      <c r="O3346">
        <v>0</v>
      </c>
      <c r="P3346">
        <v>29.6</v>
      </c>
      <c r="Q3346">
        <v>0</v>
      </c>
      <c r="R3346">
        <v>0</v>
      </c>
      <c r="S3346">
        <v>0</v>
      </c>
      <c r="T3346">
        <v>0</v>
      </c>
      <c r="U3346">
        <v>0</v>
      </c>
      <c r="V3346">
        <v>0</v>
      </c>
      <c r="W3346">
        <v>0</v>
      </c>
      <c r="X3346">
        <v>0</v>
      </c>
      <c r="Y3346">
        <v>0</v>
      </c>
      <c r="Z3346">
        <v>0</v>
      </c>
      <c r="AA3346">
        <v>0</v>
      </c>
      <c r="AC3346">
        <v>29.6</v>
      </c>
    </row>
    <row r="3347" spans="1:29">
      <c r="A3347">
        <v>3340</v>
      </c>
      <c r="B3347">
        <v>2254</v>
      </c>
      <c r="C3347" t="s">
        <v>6932</v>
      </c>
      <c r="D3347" t="s">
        <v>27</v>
      </c>
      <c r="E3347" t="s">
        <v>134</v>
      </c>
      <c r="F3347" t="s">
        <v>6933</v>
      </c>
      <c r="G3347" t="str">
        <f>"00773588"</f>
        <v>00773588</v>
      </c>
      <c r="H3347">
        <v>21.6</v>
      </c>
      <c r="I3347">
        <v>0</v>
      </c>
      <c r="L3347">
        <v>4</v>
      </c>
      <c r="M3347">
        <v>4</v>
      </c>
      <c r="N3347">
        <v>4</v>
      </c>
      <c r="O3347">
        <v>0</v>
      </c>
      <c r="P3347">
        <v>29.6</v>
      </c>
      <c r="Q3347">
        <v>0</v>
      </c>
      <c r="R3347">
        <v>0</v>
      </c>
      <c r="S3347">
        <v>0</v>
      </c>
      <c r="T3347">
        <v>0</v>
      </c>
      <c r="U3347">
        <v>0</v>
      </c>
      <c r="V3347">
        <v>0</v>
      </c>
      <c r="W3347">
        <v>0</v>
      </c>
      <c r="X3347">
        <v>0</v>
      </c>
      <c r="Y3347">
        <v>0</v>
      </c>
      <c r="Z3347">
        <v>0</v>
      </c>
      <c r="AA3347">
        <v>0</v>
      </c>
      <c r="AC3347">
        <v>29.6</v>
      </c>
    </row>
    <row r="3348" spans="1:29">
      <c r="A3348">
        <v>3341</v>
      </c>
      <c r="B3348">
        <v>4841</v>
      </c>
      <c r="C3348" t="s">
        <v>6927</v>
      </c>
      <c r="D3348" t="s">
        <v>336</v>
      </c>
      <c r="E3348" t="s">
        <v>134</v>
      </c>
      <c r="F3348" t="s">
        <v>6928</v>
      </c>
      <c r="G3348" t="str">
        <f>"00865894"</f>
        <v>00865894</v>
      </c>
      <c r="H3348">
        <v>21.6</v>
      </c>
      <c r="I3348">
        <v>0</v>
      </c>
      <c r="J3348">
        <v>8</v>
      </c>
      <c r="M3348">
        <v>8</v>
      </c>
      <c r="N3348">
        <v>0</v>
      </c>
      <c r="O3348">
        <v>0</v>
      </c>
      <c r="P3348">
        <v>29.6</v>
      </c>
      <c r="Q3348">
        <v>0</v>
      </c>
      <c r="R3348">
        <v>0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0</v>
      </c>
      <c r="Y3348">
        <v>0</v>
      </c>
      <c r="Z3348">
        <v>0</v>
      </c>
      <c r="AA3348">
        <v>0</v>
      </c>
      <c r="AC3348">
        <v>29.6</v>
      </c>
    </row>
    <row r="3349" spans="1:29">
      <c r="A3349">
        <v>3342</v>
      </c>
      <c r="B3349">
        <v>2785</v>
      </c>
      <c r="C3349" t="s">
        <v>6919</v>
      </c>
      <c r="D3349" t="s">
        <v>130</v>
      </c>
      <c r="E3349" t="s">
        <v>156</v>
      </c>
      <c r="F3349" t="s">
        <v>6920</v>
      </c>
      <c r="G3349" t="str">
        <f>"00862509"</f>
        <v>00862509</v>
      </c>
      <c r="H3349">
        <v>21.6</v>
      </c>
      <c r="I3349">
        <v>0</v>
      </c>
      <c r="L3349">
        <v>4</v>
      </c>
      <c r="M3349">
        <v>4</v>
      </c>
      <c r="N3349">
        <v>4</v>
      </c>
      <c r="O3349">
        <v>0</v>
      </c>
      <c r="P3349">
        <v>29.6</v>
      </c>
      <c r="Q3349">
        <v>0</v>
      </c>
      <c r="R3349">
        <v>0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0</v>
      </c>
      <c r="Y3349">
        <v>0</v>
      </c>
      <c r="Z3349">
        <v>0</v>
      </c>
      <c r="AA3349">
        <v>0</v>
      </c>
      <c r="AC3349">
        <v>29.6</v>
      </c>
    </row>
    <row r="3350" spans="1:29">
      <c r="A3350">
        <v>3343</v>
      </c>
      <c r="B3350">
        <v>3857</v>
      </c>
      <c r="C3350" t="s">
        <v>4887</v>
      </c>
      <c r="D3350" t="s">
        <v>35</v>
      </c>
      <c r="E3350" t="s">
        <v>53</v>
      </c>
      <c r="F3350" t="s">
        <v>6921</v>
      </c>
      <c r="G3350" t="str">
        <f>"00831571"</f>
        <v>00831571</v>
      </c>
      <c r="H3350">
        <v>21.6</v>
      </c>
      <c r="I3350">
        <v>0</v>
      </c>
      <c r="L3350">
        <v>4</v>
      </c>
      <c r="M3350">
        <v>4</v>
      </c>
      <c r="N3350">
        <v>4</v>
      </c>
      <c r="O3350">
        <v>0</v>
      </c>
      <c r="P3350">
        <v>29.6</v>
      </c>
      <c r="Q3350">
        <v>0</v>
      </c>
      <c r="R3350">
        <v>0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0</v>
      </c>
      <c r="Y3350">
        <v>0</v>
      </c>
      <c r="Z3350">
        <v>0</v>
      </c>
      <c r="AA3350">
        <v>0</v>
      </c>
      <c r="AC3350">
        <v>29.6</v>
      </c>
    </row>
    <row r="3351" spans="1:29">
      <c r="A3351">
        <v>3344</v>
      </c>
      <c r="B3351">
        <v>2780</v>
      </c>
      <c r="C3351" t="s">
        <v>6924</v>
      </c>
      <c r="D3351" t="s">
        <v>39</v>
      </c>
      <c r="E3351" t="s">
        <v>187</v>
      </c>
      <c r="F3351" t="s">
        <v>6925</v>
      </c>
      <c r="G3351" t="str">
        <f>"00667551"</f>
        <v>00667551</v>
      </c>
      <c r="H3351">
        <v>21.6</v>
      </c>
      <c r="I3351">
        <v>0</v>
      </c>
      <c r="L3351">
        <v>4</v>
      </c>
      <c r="M3351">
        <v>4</v>
      </c>
      <c r="N3351">
        <v>4</v>
      </c>
      <c r="O3351">
        <v>0</v>
      </c>
      <c r="P3351">
        <v>29.6</v>
      </c>
      <c r="Q3351">
        <v>0</v>
      </c>
      <c r="R3351">
        <v>0</v>
      </c>
      <c r="S3351">
        <v>0</v>
      </c>
      <c r="T3351">
        <v>0</v>
      </c>
      <c r="U3351">
        <v>0</v>
      </c>
      <c r="V3351">
        <v>0</v>
      </c>
      <c r="W3351">
        <v>0</v>
      </c>
      <c r="X3351">
        <v>0</v>
      </c>
      <c r="Y3351">
        <v>0</v>
      </c>
      <c r="Z3351">
        <v>0</v>
      </c>
      <c r="AA3351">
        <v>0</v>
      </c>
      <c r="AC3351">
        <v>29.6</v>
      </c>
    </row>
    <row r="3352" spans="1:29">
      <c r="A3352">
        <v>3345</v>
      </c>
      <c r="B3352">
        <v>3649</v>
      </c>
      <c r="C3352" t="s">
        <v>6938</v>
      </c>
      <c r="D3352" t="s">
        <v>39</v>
      </c>
      <c r="E3352" t="s">
        <v>15</v>
      </c>
      <c r="F3352" t="s">
        <v>6939</v>
      </c>
      <c r="G3352" t="str">
        <f>"00531735"</f>
        <v>00531735</v>
      </c>
      <c r="H3352">
        <v>21.6</v>
      </c>
      <c r="I3352">
        <v>0</v>
      </c>
      <c r="L3352">
        <v>4</v>
      </c>
      <c r="M3352">
        <v>4</v>
      </c>
      <c r="N3352">
        <v>4</v>
      </c>
      <c r="O3352">
        <v>0</v>
      </c>
      <c r="P3352">
        <v>29.6</v>
      </c>
      <c r="Q3352">
        <v>0</v>
      </c>
      <c r="R3352">
        <v>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0</v>
      </c>
      <c r="Y3352">
        <v>0</v>
      </c>
      <c r="Z3352">
        <v>0</v>
      </c>
      <c r="AA3352">
        <v>0</v>
      </c>
      <c r="AC3352">
        <v>29.6</v>
      </c>
    </row>
    <row r="3353" spans="1:29">
      <c r="A3353">
        <v>3346</v>
      </c>
      <c r="B3353">
        <v>598</v>
      </c>
      <c r="C3353" t="s">
        <v>6934</v>
      </c>
      <c r="D3353" t="s">
        <v>6935</v>
      </c>
      <c r="E3353" t="s">
        <v>79</v>
      </c>
      <c r="F3353" t="s">
        <v>6936</v>
      </c>
      <c r="G3353" t="str">
        <f>"00482034"</f>
        <v>00482034</v>
      </c>
      <c r="H3353">
        <v>21.6</v>
      </c>
      <c r="I3353">
        <v>0</v>
      </c>
      <c r="L3353">
        <v>4</v>
      </c>
      <c r="M3353">
        <v>4</v>
      </c>
      <c r="N3353">
        <v>4</v>
      </c>
      <c r="O3353">
        <v>0</v>
      </c>
      <c r="P3353">
        <v>29.6</v>
      </c>
      <c r="Q3353">
        <v>0</v>
      </c>
      <c r="R3353">
        <v>0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0</v>
      </c>
      <c r="Y3353">
        <v>0</v>
      </c>
      <c r="Z3353">
        <v>0</v>
      </c>
      <c r="AA3353">
        <v>0</v>
      </c>
      <c r="AC3353">
        <v>29.6</v>
      </c>
    </row>
    <row r="3354" spans="1:29">
      <c r="A3354">
        <v>3347</v>
      </c>
      <c r="B3354">
        <v>3676</v>
      </c>
      <c r="C3354" t="s">
        <v>415</v>
      </c>
      <c r="D3354" t="s">
        <v>24</v>
      </c>
      <c r="E3354" t="s">
        <v>18</v>
      </c>
      <c r="F3354" t="s">
        <v>6926</v>
      </c>
      <c r="G3354" t="str">
        <f>"00857237"</f>
        <v>00857237</v>
      </c>
      <c r="H3354">
        <v>21.6</v>
      </c>
      <c r="I3354">
        <v>0</v>
      </c>
      <c r="L3354">
        <v>4</v>
      </c>
      <c r="M3354">
        <v>4</v>
      </c>
      <c r="N3354">
        <v>4</v>
      </c>
      <c r="O3354">
        <v>0</v>
      </c>
      <c r="P3354">
        <v>29.6</v>
      </c>
      <c r="Q3354">
        <v>0</v>
      </c>
      <c r="R3354">
        <v>0</v>
      </c>
      <c r="S3354">
        <v>0</v>
      </c>
      <c r="T3354">
        <v>0</v>
      </c>
      <c r="U3354">
        <v>0</v>
      </c>
      <c r="V3354">
        <v>0</v>
      </c>
      <c r="W3354">
        <v>0</v>
      </c>
      <c r="X3354">
        <v>0</v>
      </c>
      <c r="Y3354">
        <v>0</v>
      </c>
      <c r="Z3354">
        <v>0</v>
      </c>
      <c r="AA3354">
        <v>0</v>
      </c>
      <c r="AC3354">
        <v>29.6</v>
      </c>
    </row>
    <row r="3355" spans="1:29">
      <c r="A3355">
        <v>3348</v>
      </c>
      <c r="B3355">
        <v>3720</v>
      </c>
      <c r="C3355" t="s">
        <v>6922</v>
      </c>
      <c r="D3355" t="s">
        <v>98</v>
      </c>
      <c r="E3355" t="s">
        <v>50</v>
      </c>
      <c r="F3355" t="s">
        <v>6923</v>
      </c>
      <c r="G3355" t="str">
        <f>"00859796"</f>
        <v>00859796</v>
      </c>
      <c r="H3355">
        <v>21.6</v>
      </c>
      <c r="I3355">
        <v>0</v>
      </c>
      <c r="L3355">
        <v>4</v>
      </c>
      <c r="M3355">
        <v>4</v>
      </c>
      <c r="N3355">
        <v>4</v>
      </c>
      <c r="O3355">
        <v>0</v>
      </c>
      <c r="P3355">
        <v>29.6</v>
      </c>
      <c r="Q3355">
        <v>0</v>
      </c>
      <c r="R3355">
        <v>0</v>
      </c>
      <c r="S3355">
        <v>0</v>
      </c>
      <c r="T3355">
        <v>0</v>
      </c>
      <c r="U3355">
        <v>0</v>
      </c>
      <c r="V3355">
        <v>0</v>
      </c>
      <c r="W3355">
        <v>0</v>
      </c>
      <c r="X3355">
        <v>0</v>
      </c>
      <c r="Y3355">
        <v>0</v>
      </c>
      <c r="Z3355">
        <v>0</v>
      </c>
      <c r="AA3355">
        <v>0</v>
      </c>
      <c r="AC3355">
        <v>29.6</v>
      </c>
    </row>
    <row r="3356" spans="1:29">
      <c r="A3356">
        <v>3349</v>
      </c>
      <c r="B3356">
        <v>3141</v>
      </c>
      <c r="C3356" t="s">
        <v>3768</v>
      </c>
      <c r="D3356" t="s">
        <v>95</v>
      </c>
      <c r="E3356" t="s">
        <v>122</v>
      </c>
      <c r="F3356" t="s">
        <v>6931</v>
      </c>
      <c r="G3356" t="str">
        <f>"00856510"</f>
        <v>00856510</v>
      </c>
      <c r="H3356">
        <v>21.6</v>
      </c>
      <c r="I3356">
        <v>0</v>
      </c>
      <c r="L3356">
        <v>4</v>
      </c>
      <c r="M3356">
        <v>4</v>
      </c>
      <c r="N3356">
        <v>4</v>
      </c>
      <c r="O3356">
        <v>0</v>
      </c>
      <c r="P3356">
        <v>29.6</v>
      </c>
      <c r="Q3356">
        <v>0</v>
      </c>
      <c r="R3356">
        <v>0</v>
      </c>
      <c r="S3356">
        <v>0</v>
      </c>
      <c r="T3356">
        <v>0</v>
      </c>
      <c r="U3356">
        <v>0</v>
      </c>
      <c r="V3356">
        <v>0</v>
      </c>
      <c r="W3356">
        <v>0</v>
      </c>
      <c r="X3356">
        <v>0</v>
      </c>
      <c r="Y3356">
        <v>0</v>
      </c>
      <c r="Z3356">
        <v>0</v>
      </c>
      <c r="AA3356">
        <v>0</v>
      </c>
      <c r="AC3356">
        <v>29.6</v>
      </c>
    </row>
    <row r="3357" spans="1:29">
      <c r="A3357">
        <v>3350</v>
      </c>
      <c r="B3357">
        <v>1282</v>
      </c>
      <c r="C3357" t="s">
        <v>6929</v>
      </c>
      <c r="D3357" t="s">
        <v>27</v>
      </c>
      <c r="E3357" t="s">
        <v>2568</v>
      </c>
      <c r="F3357" t="s">
        <v>6930</v>
      </c>
      <c r="G3357" t="str">
        <f>"00441931"</f>
        <v>00441931</v>
      </c>
      <c r="H3357">
        <v>21.6</v>
      </c>
      <c r="I3357">
        <v>0</v>
      </c>
      <c r="L3357">
        <v>4</v>
      </c>
      <c r="M3357">
        <v>4</v>
      </c>
      <c r="N3357">
        <v>4</v>
      </c>
      <c r="O3357">
        <v>0</v>
      </c>
      <c r="P3357">
        <v>29.6</v>
      </c>
      <c r="Q3357">
        <v>0</v>
      </c>
      <c r="R3357">
        <v>0</v>
      </c>
      <c r="S3357">
        <v>0</v>
      </c>
      <c r="T3357">
        <v>0</v>
      </c>
      <c r="U3357">
        <v>0</v>
      </c>
      <c r="V3357">
        <v>0</v>
      </c>
      <c r="W3357">
        <v>0</v>
      </c>
      <c r="X3357">
        <v>0</v>
      </c>
      <c r="Y3357">
        <v>0</v>
      </c>
      <c r="Z3357">
        <v>0</v>
      </c>
      <c r="AA3357">
        <v>0</v>
      </c>
      <c r="AC3357">
        <v>29.6</v>
      </c>
    </row>
    <row r="3358" spans="1:29">
      <c r="A3358">
        <v>3351</v>
      </c>
      <c r="B3358">
        <v>3973</v>
      </c>
      <c r="C3358" t="s">
        <v>4560</v>
      </c>
      <c r="D3358" t="s">
        <v>39</v>
      </c>
      <c r="E3358" t="s">
        <v>36</v>
      </c>
      <c r="F3358" t="s">
        <v>6940</v>
      </c>
      <c r="G3358" t="str">
        <f>"00270966"</f>
        <v>00270966</v>
      </c>
      <c r="H3358">
        <v>21.6</v>
      </c>
      <c r="I3358">
        <v>0</v>
      </c>
      <c r="M3358">
        <v>0</v>
      </c>
      <c r="N3358">
        <v>0</v>
      </c>
      <c r="O3358">
        <v>0</v>
      </c>
      <c r="P3358">
        <v>21.6</v>
      </c>
      <c r="Q3358">
        <v>8</v>
      </c>
      <c r="R3358">
        <v>8</v>
      </c>
      <c r="S3358">
        <v>0</v>
      </c>
      <c r="T3358">
        <v>0</v>
      </c>
      <c r="U3358">
        <v>0</v>
      </c>
      <c r="V3358">
        <v>0</v>
      </c>
      <c r="W3358">
        <v>0</v>
      </c>
      <c r="X3358">
        <v>0</v>
      </c>
      <c r="Y3358">
        <v>8</v>
      </c>
      <c r="Z3358">
        <v>0</v>
      </c>
      <c r="AA3358">
        <v>0</v>
      </c>
      <c r="AC3358">
        <v>29.6</v>
      </c>
    </row>
    <row r="3359" spans="1:29">
      <c r="A3359">
        <v>3352</v>
      </c>
      <c r="B3359">
        <v>2160</v>
      </c>
      <c r="C3359" t="s">
        <v>6941</v>
      </c>
      <c r="D3359" t="s">
        <v>86</v>
      </c>
      <c r="E3359" t="s">
        <v>1450</v>
      </c>
      <c r="F3359" t="s">
        <v>6942</v>
      </c>
      <c r="G3359" t="str">
        <f>"00703313"</f>
        <v>00703313</v>
      </c>
      <c r="H3359">
        <v>25.44</v>
      </c>
      <c r="I3359">
        <v>0</v>
      </c>
      <c r="M3359">
        <v>0</v>
      </c>
      <c r="N3359">
        <v>4</v>
      </c>
      <c r="O3359">
        <v>0</v>
      </c>
      <c r="P3359">
        <v>29.44</v>
      </c>
      <c r="Q3359">
        <v>0</v>
      </c>
      <c r="R3359">
        <v>0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0</v>
      </c>
      <c r="Y3359">
        <v>0</v>
      </c>
      <c r="Z3359">
        <v>0</v>
      </c>
      <c r="AA3359">
        <v>0</v>
      </c>
      <c r="AC3359">
        <v>29.44</v>
      </c>
    </row>
    <row r="3360" spans="1:29">
      <c r="A3360">
        <v>3353</v>
      </c>
      <c r="B3360">
        <v>1454</v>
      </c>
      <c r="C3360" t="s">
        <v>6943</v>
      </c>
      <c r="D3360" t="s">
        <v>20</v>
      </c>
      <c r="E3360" t="s">
        <v>115</v>
      </c>
      <c r="F3360" t="s">
        <v>6944</v>
      </c>
      <c r="G3360" t="str">
        <f>"200802001266"</f>
        <v>200802001266</v>
      </c>
      <c r="H3360">
        <v>21.44</v>
      </c>
      <c r="I3360">
        <v>0</v>
      </c>
      <c r="L3360">
        <v>4</v>
      </c>
      <c r="M3360">
        <v>4</v>
      </c>
      <c r="N3360">
        <v>4</v>
      </c>
      <c r="O3360">
        <v>0</v>
      </c>
      <c r="P3360">
        <v>29.44</v>
      </c>
      <c r="Q3360">
        <v>0</v>
      </c>
      <c r="R3360">
        <v>0</v>
      </c>
      <c r="S3360">
        <v>0</v>
      </c>
      <c r="T3360">
        <v>0</v>
      </c>
      <c r="U3360">
        <v>0</v>
      </c>
      <c r="V3360">
        <v>0</v>
      </c>
      <c r="W3360">
        <v>0</v>
      </c>
      <c r="X3360">
        <v>0</v>
      </c>
      <c r="Y3360">
        <v>0</v>
      </c>
      <c r="Z3360">
        <v>0</v>
      </c>
      <c r="AA3360">
        <v>0</v>
      </c>
      <c r="AC3360">
        <v>29.44</v>
      </c>
    </row>
    <row r="3361" spans="1:29">
      <c r="A3361">
        <v>3354</v>
      </c>
      <c r="B3361">
        <v>2605</v>
      </c>
      <c r="C3361" t="s">
        <v>2732</v>
      </c>
      <c r="D3361" t="s">
        <v>63</v>
      </c>
      <c r="E3361" t="s">
        <v>134</v>
      </c>
      <c r="F3361" t="s">
        <v>6945</v>
      </c>
      <c r="G3361" t="str">
        <f>"00863156"</f>
        <v>00863156</v>
      </c>
      <c r="H3361">
        <v>23.4</v>
      </c>
      <c r="I3361">
        <v>0</v>
      </c>
      <c r="M3361">
        <v>0</v>
      </c>
      <c r="N3361">
        <v>0</v>
      </c>
      <c r="O3361">
        <v>0</v>
      </c>
      <c r="P3361">
        <v>23.4</v>
      </c>
      <c r="Q3361">
        <v>0</v>
      </c>
      <c r="R3361">
        <v>0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0</v>
      </c>
      <c r="Y3361">
        <v>0</v>
      </c>
      <c r="Z3361">
        <v>6</v>
      </c>
      <c r="AA3361">
        <v>0</v>
      </c>
      <c r="AC3361">
        <v>29.4</v>
      </c>
    </row>
    <row r="3362" spans="1:29">
      <c r="A3362">
        <v>3355</v>
      </c>
      <c r="B3362">
        <v>1148</v>
      </c>
      <c r="C3362" t="s">
        <v>6946</v>
      </c>
      <c r="D3362" t="s">
        <v>159</v>
      </c>
      <c r="E3362" t="s">
        <v>18</v>
      </c>
      <c r="F3362" t="s">
        <v>6947</v>
      </c>
      <c r="G3362" t="str">
        <f>"00856263"</f>
        <v>00856263</v>
      </c>
      <c r="H3362">
        <v>14.4</v>
      </c>
      <c r="I3362">
        <v>0</v>
      </c>
      <c r="J3362">
        <v>8</v>
      </c>
      <c r="M3362">
        <v>8</v>
      </c>
      <c r="N3362">
        <v>4</v>
      </c>
      <c r="O3362">
        <v>0</v>
      </c>
      <c r="P3362">
        <v>26.4</v>
      </c>
      <c r="Q3362">
        <v>0</v>
      </c>
      <c r="R3362">
        <v>0</v>
      </c>
      <c r="S3362">
        <v>0</v>
      </c>
      <c r="T3362">
        <v>0</v>
      </c>
      <c r="U3362">
        <v>0</v>
      </c>
      <c r="V3362">
        <v>0</v>
      </c>
      <c r="W3362">
        <v>0</v>
      </c>
      <c r="X3362">
        <v>0</v>
      </c>
      <c r="Y3362">
        <v>0</v>
      </c>
      <c r="Z3362">
        <v>3</v>
      </c>
      <c r="AA3362">
        <v>0</v>
      </c>
      <c r="AC3362">
        <v>29.4</v>
      </c>
    </row>
    <row r="3363" spans="1:29">
      <c r="A3363">
        <v>3356</v>
      </c>
      <c r="B3363">
        <v>188</v>
      </c>
      <c r="C3363" t="s">
        <v>6948</v>
      </c>
      <c r="D3363" t="s">
        <v>108</v>
      </c>
      <c r="E3363" t="s">
        <v>32</v>
      </c>
      <c r="F3363" t="s">
        <v>6949</v>
      </c>
      <c r="G3363" t="str">
        <f>"00440608"</f>
        <v>00440608</v>
      </c>
      <c r="H3363">
        <v>14.4</v>
      </c>
      <c r="I3363">
        <v>0</v>
      </c>
      <c r="J3363">
        <v>8</v>
      </c>
      <c r="M3363">
        <v>8</v>
      </c>
      <c r="N3363">
        <v>4</v>
      </c>
      <c r="O3363">
        <v>0</v>
      </c>
      <c r="P3363">
        <v>26.4</v>
      </c>
      <c r="Q3363">
        <v>0</v>
      </c>
      <c r="R3363">
        <v>0</v>
      </c>
      <c r="S3363">
        <v>0</v>
      </c>
      <c r="T3363">
        <v>0</v>
      </c>
      <c r="U3363">
        <v>0</v>
      </c>
      <c r="V3363">
        <v>0</v>
      </c>
      <c r="W3363">
        <v>0</v>
      </c>
      <c r="X3363">
        <v>0</v>
      </c>
      <c r="Y3363">
        <v>0</v>
      </c>
      <c r="Z3363">
        <v>3</v>
      </c>
      <c r="AA3363">
        <v>0</v>
      </c>
      <c r="AC3363">
        <v>29.4</v>
      </c>
    </row>
    <row r="3364" spans="1:29">
      <c r="A3364">
        <v>3357</v>
      </c>
      <c r="B3364">
        <v>872</v>
      </c>
      <c r="C3364" t="s">
        <v>6950</v>
      </c>
      <c r="D3364" t="s">
        <v>1598</v>
      </c>
      <c r="E3364" t="s">
        <v>224</v>
      </c>
      <c r="F3364" t="s">
        <v>6951</v>
      </c>
      <c r="G3364" t="str">
        <f>"00533667"</f>
        <v>00533667</v>
      </c>
      <c r="H3364">
        <v>14.4</v>
      </c>
      <c r="I3364">
        <v>0</v>
      </c>
      <c r="M3364">
        <v>0</v>
      </c>
      <c r="N3364">
        <v>4</v>
      </c>
      <c r="O3364">
        <v>0</v>
      </c>
      <c r="P3364">
        <v>18.399999999999999</v>
      </c>
      <c r="Q3364">
        <v>11</v>
      </c>
      <c r="R3364">
        <v>11</v>
      </c>
      <c r="S3364">
        <v>0</v>
      </c>
      <c r="T3364">
        <v>0</v>
      </c>
      <c r="U3364">
        <v>0</v>
      </c>
      <c r="V3364">
        <v>0</v>
      </c>
      <c r="W3364">
        <v>0</v>
      </c>
      <c r="X3364">
        <v>0</v>
      </c>
      <c r="Y3364">
        <v>11</v>
      </c>
      <c r="Z3364">
        <v>0</v>
      </c>
      <c r="AA3364">
        <v>0</v>
      </c>
      <c r="AC3364">
        <v>29.4</v>
      </c>
    </row>
    <row r="3365" spans="1:29">
      <c r="A3365">
        <v>3358</v>
      </c>
      <c r="B3365">
        <v>4656</v>
      </c>
      <c r="C3365" t="s">
        <v>6952</v>
      </c>
      <c r="D3365" t="s">
        <v>400</v>
      </c>
      <c r="E3365" t="s">
        <v>18</v>
      </c>
      <c r="F3365" t="s">
        <v>6953</v>
      </c>
      <c r="G3365" t="str">
        <f>"00865456"</f>
        <v>00865456</v>
      </c>
      <c r="H3365">
        <v>20.36</v>
      </c>
      <c r="I3365">
        <v>0</v>
      </c>
      <c r="M3365">
        <v>0</v>
      </c>
      <c r="N3365">
        <v>4</v>
      </c>
      <c r="O3365">
        <v>2</v>
      </c>
      <c r="P3365">
        <v>26.36</v>
      </c>
      <c r="Q3365">
        <v>0</v>
      </c>
      <c r="R3365">
        <v>0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0</v>
      </c>
      <c r="Y3365">
        <v>0</v>
      </c>
      <c r="Z3365">
        <v>3</v>
      </c>
      <c r="AA3365">
        <v>0</v>
      </c>
      <c r="AC3365">
        <v>29.36</v>
      </c>
    </row>
    <row r="3366" spans="1:29">
      <c r="A3366">
        <v>3359</v>
      </c>
      <c r="B3366">
        <v>1242</v>
      </c>
      <c r="C3366" t="s">
        <v>6954</v>
      </c>
      <c r="D3366" t="s">
        <v>31</v>
      </c>
      <c r="E3366" t="s">
        <v>28</v>
      </c>
      <c r="F3366" t="s">
        <v>6955</v>
      </c>
      <c r="G3366" t="str">
        <f>"00493031"</f>
        <v>00493031</v>
      </c>
      <c r="H3366">
        <v>22.28</v>
      </c>
      <c r="I3366">
        <v>0</v>
      </c>
      <c r="M3366">
        <v>0</v>
      </c>
      <c r="N3366">
        <v>0</v>
      </c>
      <c r="O3366">
        <v>0</v>
      </c>
      <c r="P3366">
        <v>22.28</v>
      </c>
      <c r="Q3366">
        <v>4</v>
      </c>
      <c r="R3366">
        <v>4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0</v>
      </c>
      <c r="Y3366">
        <v>4</v>
      </c>
      <c r="Z3366">
        <v>3</v>
      </c>
      <c r="AA3366">
        <v>0</v>
      </c>
      <c r="AC3366">
        <v>29.28</v>
      </c>
    </row>
    <row r="3367" spans="1:29">
      <c r="A3367">
        <v>3360</v>
      </c>
      <c r="B3367">
        <v>4936</v>
      </c>
      <c r="C3367" t="s">
        <v>6956</v>
      </c>
      <c r="D3367" t="s">
        <v>6957</v>
      </c>
      <c r="E3367" t="s">
        <v>6958</v>
      </c>
      <c r="F3367" t="s">
        <v>6959</v>
      </c>
      <c r="G3367" t="str">
        <f>"00529191"</f>
        <v>00529191</v>
      </c>
      <c r="H3367">
        <v>23.28</v>
      </c>
      <c r="I3367">
        <v>0</v>
      </c>
      <c r="M3367">
        <v>0</v>
      </c>
      <c r="N3367">
        <v>4</v>
      </c>
      <c r="O3367">
        <v>2</v>
      </c>
      <c r="P3367">
        <v>29.28</v>
      </c>
      <c r="Q3367">
        <v>0</v>
      </c>
      <c r="R3367">
        <v>0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0</v>
      </c>
      <c r="Y3367">
        <v>0</v>
      </c>
      <c r="Z3367">
        <v>0</v>
      </c>
      <c r="AA3367">
        <v>0</v>
      </c>
      <c r="AC3367">
        <v>29.28</v>
      </c>
    </row>
    <row r="3368" spans="1:29">
      <c r="A3368">
        <v>3361</v>
      </c>
      <c r="B3368">
        <v>3357</v>
      </c>
      <c r="C3368" t="s">
        <v>6960</v>
      </c>
      <c r="D3368" t="s">
        <v>407</v>
      </c>
      <c r="E3368" t="s">
        <v>15</v>
      </c>
      <c r="F3368" t="s">
        <v>6961</v>
      </c>
      <c r="G3368" t="str">
        <f>"00446805"</f>
        <v>00446805</v>
      </c>
      <c r="H3368">
        <v>23.2</v>
      </c>
      <c r="I3368">
        <v>0</v>
      </c>
      <c r="M3368">
        <v>0</v>
      </c>
      <c r="N3368">
        <v>0</v>
      </c>
      <c r="O3368">
        <v>0</v>
      </c>
      <c r="P3368">
        <v>23.2</v>
      </c>
      <c r="Q3368">
        <v>0</v>
      </c>
      <c r="R3368">
        <v>0</v>
      </c>
      <c r="S3368">
        <v>0</v>
      </c>
      <c r="T3368">
        <v>0</v>
      </c>
      <c r="U3368">
        <v>0</v>
      </c>
      <c r="V3368">
        <v>0</v>
      </c>
      <c r="W3368">
        <v>0</v>
      </c>
      <c r="X3368">
        <v>0</v>
      </c>
      <c r="Y3368">
        <v>0</v>
      </c>
      <c r="Z3368">
        <v>6</v>
      </c>
      <c r="AA3368">
        <v>0</v>
      </c>
      <c r="AC3368">
        <v>29.2</v>
      </c>
    </row>
    <row r="3369" spans="1:29">
      <c r="A3369">
        <v>3362</v>
      </c>
      <c r="B3369">
        <v>303</v>
      </c>
      <c r="C3369" t="s">
        <v>6962</v>
      </c>
      <c r="D3369" t="s">
        <v>145</v>
      </c>
      <c r="E3369" t="s">
        <v>1807</v>
      </c>
      <c r="F3369" t="s">
        <v>6963</v>
      </c>
      <c r="G3369" t="str">
        <f>"00624384"</f>
        <v>00624384</v>
      </c>
      <c r="H3369">
        <v>22.2</v>
      </c>
      <c r="I3369">
        <v>0</v>
      </c>
      <c r="M3369">
        <v>0</v>
      </c>
      <c r="N3369">
        <v>4</v>
      </c>
      <c r="O3369">
        <v>0</v>
      </c>
      <c r="P3369">
        <v>26.2</v>
      </c>
      <c r="Q3369">
        <v>0</v>
      </c>
      <c r="R3369">
        <v>0</v>
      </c>
      <c r="S3369">
        <v>0</v>
      </c>
      <c r="T3369">
        <v>0</v>
      </c>
      <c r="U3369">
        <v>0</v>
      </c>
      <c r="V3369">
        <v>0</v>
      </c>
      <c r="W3369">
        <v>0</v>
      </c>
      <c r="X3369">
        <v>0</v>
      </c>
      <c r="Y3369">
        <v>0</v>
      </c>
      <c r="Z3369">
        <v>3</v>
      </c>
      <c r="AA3369">
        <v>0</v>
      </c>
      <c r="AC3369">
        <v>29.2</v>
      </c>
    </row>
    <row r="3370" spans="1:29">
      <c r="A3370">
        <v>3363</v>
      </c>
      <c r="B3370">
        <v>664</v>
      </c>
      <c r="C3370" t="s">
        <v>6964</v>
      </c>
      <c r="D3370" t="s">
        <v>52</v>
      </c>
      <c r="E3370" t="s">
        <v>224</v>
      </c>
      <c r="F3370" t="s">
        <v>6965</v>
      </c>
      <c r="G3370" t="str">
        <f>"201402007966"</f>
        <v>201402007966</v>
      </c>
      <c r="H3370">
        <v>7.2</v>
      </c>
      <c r="I3370">
        <v>0</v>
      </c>
      <c r="J3370">
        <v>8</v>
      </c>
      <c r="M3370">
        <v>8</v>
      </c>
      <c r="N3370">
        <v>4</v>
      </c>
      <c r="O3370">
        <v>2</v>
      </c>
      <c r="P3370">
        <v>21.2</v>
      </c>
      <c r="Q3370">
        <v>5</v>
      </c>
      <c r="R3370">
        <v>5</v>
      </c>
      <c r="S3370">
        <v>0</v>
      </c>
      <c r="T3370">
        <v>0</v>
      </c>
      <c r="U3370">
        <v>0</v>
      </c>
      <c r="V3370">
        <v>0</v>
      </c>
      <c r="W3370">
        <v>0</v>
      </c>
      <c r="X3370">
        <v>0</v>
      </c>
      <c r="Y3370">
        <v>5</v>
      </c>
      <c r="Z3370">
        <v>3</v>
      </c>
      <c r="AA3370">
        <v>0</v>
      </c>
      <c r="AC3370">
        <v>29.2</v>
      </c>
    </row>
    <row r="3371" spans="1:29">
      <c r="A3371">
        <v>3364</v>
      </c>
      <c r="B3371">
        <v>435</v>
      </c>
      <c r="C3371" t="s">
        <v>490</v>
      </c>
      <c r="D3371" t="s">
        <v>266</v>
      </c>
      <c r="E3371" t="s">
        <v>12</v>
      </c>
      <c r="F3371" t="s">
        <v>6966</v>
      </c>
      <c r="G3371" t="str">
        <f>"201511024057"</f>
        <v>201511024057</v>
      </c>
      <c r="H3371">
        <v>21.2</v>
      </c>
      <c r="I3371">
        <v>0</v>
      </c>
      <c r="L3371">
        <v>4</v>
      </c>
      <c r="M3371">
        <v>4</v>
      </c>
      <c r="N3371">
        <v>4</v>
      </c>
      <c r="O3371">
        <v>0</v>
      </c>
      <c r="P3371">
        <v>29.2</v>
      </c>
      <c r="Q3371">
        <v>0</v>
      </c>
      <c r="R3371">
        <v>0</v>
      </c>
      <c r="S3371">
        <v>0</v>
      </c>
      <c r="T3371">
        <v>0</v>
      </c>
      <c r="U3371">
        <v>0</v>
      </c>
      <c r="V3371">
        <v>0</v>
      </c>
      <c r="W3371">
        <v>0</v>
      </c>
      <c r="X3371">
        <v>0</v>
      </c>
      <c r="Y3371">
        <v>0</v>
      </c>
      <c r="Z3371">
        <v>0</v>
      </c>
      <c r="AA3371">
        <v>0</v>
      </c>
      <c r="AC3371">
        <v>29.2</v>
      </c>
    </row>
    <row r="3372" spans="1:29">
      <c r="A3372">
        <v>3365</v>
      </c>
      <c r="B3372">
        <v>3917</v>
      </c>
      <c r="C3372" t="s">
        <v>6967</v>
      </c>
      <c r="D3372" t="s">
        <v>98</v>
      </c>
      <c r="E3372" t="s">
        <v>50</v>
      </c>
      <c r="F3372" t="s">
        <v>6968</v>
      </c>
      <c r="G3372" t="str">
        <f>"00466544"</f>
        <v>00466544</v>
      </c>
      <c r="H3372">
        <v>7.2</v>
      </c>
      <c r="I3372">
        <v>0</v>
      </c>
      <c r="K3372">
        <v>6</v>
      </c>
      <c r="M3372">
        <v>6</v>
      </c>
      <c r="N3372">
        <v>4</v>
      </c>
      <c r="O3372">
        <v>2</v>
      </c>
      <c r="P3372">
        <v>19.2</v>
      </c>
      <c r="Q3372">
        <v>10</v>
      </c>
      <c r="R3372">
        <v>10</v>
      </c>
      <c r="S3372">
        <v>0</v>
      </c>
      <c r="T3372">
        <v>0</v>
      </c>
      <c r="U3372">
        <v>0</v>
      </c>
      <c r="V3372">
        <v>0</v>
      </c>
      <c r="W3372">
        <v>0</v>
      </c>
      <c r="X3372">
        <v>0</v>
      </c>
      <c r="Y3372">
        <v>10</v>
      </c>
      <c r="Z3372">
        <v>0</v>
      </c>
      <c r="AA3372">
        <v>0</v>
      </c>
      <c r="AC3372">
        <v>29.2</v>
      </c>
    </row>
    <row r="3373" spans="1:29">
      <c r="A3373">
        <v>3366</v>
      </c>
      <c r="B3373">
        <v>2624</v>
      </c>
      <c r="C3373" t="s">
        <v>6969</v>
      </c>
      <c r="D3373" t="s">
        <v>1041</v>
      </c>
      <c r="E3373" t="s">
        <v>1855</v>
      </c>
      <c r="F3373" t="s">
        <v>6970</v>
      </c>
      <c r="G3373" t="str">
        <f>"00863746"</f>
        <v>00863746</v>
      </c>
      <c r="H3373">
        <v>23.16</v>
      </c>
      <c r="I3373">
        <v>0</v>
      </c>
      <c r="M3373">
        <v>0</v>
      </c>
      <c r="N3373">
        <v>0</v>
      </c>
      <c r="O3373">
        <v>0</v>
      </c>
      <c r="P3373">
        <v>23.16</v>
      </c>
      <c r="Q3373">
        <v>0</v>
      </c>
      <c r="R3373">
        <v>0</v>
      </c>
      <c r="S3373">
        <v>0</v>
      </c>
      <c r="T3373">
        <v>0</v>
      </c>
      <c r="U3373">
        <v>0</v>
      </c>
      <c r="V3373">
        <v>0</v>
      </c>
      <c r="W3373">
        <v>0</v>
      </c>
      <c r="X3373">
        <v>0</v>
      </c>
      <c r="Y3373">
        <v>0</v>
      </c>
      <c r="Z3373">
        <v>6</v>
      </c>
      <c r="AA3373">
        <v>0</v>
      </c>
      <c r="AC3373">
        <v>29.16</v>
      </c>
    </row>
    <row r="3374" spans="1:29">
      <c r="A3374">
        <v>3367</v>
      </c>
      <c r="B3374">
        <v>2253</v>
      </c>
      <c r="C3374" t="s">
        <v>2077</v>
      </c>
      <c r="D3374" t="s">
        <v>86</v>
      </c>
      <c r="E3374" t="s">
        <v>322</v>
      </c>
      <c r="F3374" t="s">
        <v>6971</v>
      </c>
      <c r="G3374" t="str">
        <f>"00652735"</f>
        <v>00652735</v>
      </c>
      <c r="H3374">
        <v>25.16</v>
      </c>
      <c r="I3374">
        <v>0</v>
      </c>
      <c r="M3374">
        <v>0</v>
      </c>
      <c r="N3374">
        <v>4</v>
      </c>
      <c r="O3374">
        <v>0</v>
      </c>
      <c r="P3374">
        <v>29.16</v>
      </c>
      <c r="Q3374">
        <v>0</v>
      </c>
      <c r="R3374">
        <v>0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0</v>
      </c>
      <c r="Y3374">
        <v>0</v>
      </c>
      <c r="Z3374">
        <v>0</v>
      </c>
      <c r="AA3374">
        <v>0</v>
      </c>
      <c r="AC3374">
        <v>29.16</v>
      </c>
    </row>
    <row r="3375" spans="1:29">
      <c r="A3375">
        <v>3368</v>
      </c>
      <c r="B3375">
        <v>2354</v>
      </c>
      <c r="C3375" t="s">
        <v>2793</v>
      </c>
      <c r="D3375" t="s">
        <v>24</v>
      </c>
      <c r="E3375" t="s">
        <v>233</v>
      </c>
      <c r="F3375" t="s">
        <v>6972</v>
      </c>
      <c r="G3375" t="str">
        <f>"00004773"</f>
        <v>00004773</v>
      </c>
      <c r="H3375">
        <v>25.08</v>
      </c>
      <c r="I3375">
        <v>0</v>
      </c>
      <c r="M3375">
        <v>0</v>
      </c>
      <c r="N3375">
        <v>4</v>
      </c>
      <c r="O3375">
        <v>0</v>
      </c>
      <c r="P3375">
        <v>29.08</v>
      </c>
      <c r="Q3375">
        <v>0</v>
      </c>
      <c r="R3375">
        <v>0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  <c r="Y3375">
        <v>0</v>
      </c>
      <c r="Z3375">
        <v>0</v>
      </c>
      <c r="AA3375">
        <v>0</v>
      </c>
      <c r="AC3375">
        <v>29.08</v>
      </c>
    </row>
    <row r="3376" spans="1:29">
      <c r="A3376">
        <v>3369</v>
      </c>
      <c r="B3376">
        <v>1191</v>
      </c>
      <c r="C3376" t="s">
        <v>6973</v>
      </c>
      <c r="D3376" t="s">
        <v>159</v>
      </c>
      <c r="E3376" t="s">
        <v>322</v>
      </c>
      <c r="F3376" t="s">
        <v>6974</v>
      </c>
      <c r="G3376" t="str">
        <f>"00441747"</f>
        <v>00441747</v>
      </c>
      <c r="H3376">
        <v>0</v>
      </c>
      <c r="I3376">
        <v>0</v>
      </c>
      <c r="J3376">
        <v>8</v>
      </c>
      <c r="M3376">
        <v>8</v>
      </c>
      <c r="N3376">
        <v>0</v>
      </c>
      <c r="O3376">
        <v>0</v>
      </c>
      <c r="P3376">
        <v>8</v>
      </c>
      <c r="Q3376">
        <v>12</v>
      </c>
      <c r="R3376">
        <v>12</v>
      </c>
      <c r="S3376">
        <v>0</v>
      </c>
      <c r="T3376">
        <v>0</v>
      </c>
      <c r="U3376">
        <v>0</v>
      </c>
      <c r="V3376">
        <v>0</v>
      </c>
      <c r="W3376">
        <v>0</v>
      </c>
      <c r="X3376">
        <v>0</v>
      </c>
      <c r="Y3376">
        <v>12</v>
      </c>
      <c r="Z3376">
        <v>9</v>
      </c>
      <c r="AA3376">
        <v>0</v>
      </c>
      <c r="AC3376">
        <v>29</v>
      </c>
    </row>
    <row r="3377" spans="1:29">
      <c r="A3377">
        <v>3370</v>
      </c>
      <c r="B3377">
        <v>2733</v>
      </c>
      <c r="C3377" t="s">
        <v>6975</v>
      </c>
      <c r="D3377" t="s">
        <v>159</v>
      </c>
      <c r="E3377" t="s">
        <v>15</v>
      </c>
      <c r="F3377" t="s">
        <v>6976</v>
      </c>
      <c r="G3377" t="str">
        <f>"201512001930"</f>
        <v>201512001930</v>
      </c>
      <c r="H3377">
        <v>0</v>
      </c>
      <c r="I3377">
        <v>0</v>
      </c>
      <c r="J3377">
        <v>8</v>
      </c>
      <c r="M3377">
        <v>8</v>
      </c>
      <c r="N3377">
        <v>4</v>
      </c>
      <c r="O3377">
        <v>2</v>
      </c>
      <c r="P3377">
        <v>14</v>
      </c>
      <c r="Q3377">
        <v>9</v>
      </c>
      <c r="R3377">
        <v>9</v>
      </c>
      <c r="S3377">
        <v>0</v>
      </c>
      <c r="T3377">
        <v>0</v>
      </c>
      <c r="U3377">
        <v>0</v>
      </c>
      <c r="V3377">
        <v>0</v>
      </c>
      <c r="W3377">
        <v>0</v>
      </c>
      <c r="X3377">
        <v>0</v>
      </c>
      <c r="Y3377">
        <v>9</v>
      </c>
      <c r="Z3377">
        <v>6</v>
      </c>
      <c r="AA3377">
        <v>0</v>
      </c>
      <c r="AC3377">
        <v>29</v>
      </c>
    </row>
    <row r="3378" spans="1:29">
      <c r="A3378">
        <v>3371</v>
      </c>
      <c r="B3378">
        <v>1757</v>
      </c>
      <c r="C3378" t="s">
        <v>6977</v>
      </c>
      <c r="D3378" t="s">
        <v>6978</v>
      </c>
      <c r="E3378" t="s">
        <v>322</v>
      </c>
      <c r="F3378" t="s">
        <v>6979</v>
      </c>
      <c r="G3378" t="str">
        <f>"00527953"</f>
        <v>00527953</v>
      </c>
      <c r="H3378">
        <v>0</v>
      </c>
      <c r="I3378">
        <v>0</v>
      </c>
      <c r="J3378">
        <v>8</v>
      </c>
      <c r="M3378">
        <v>8</v>
      </c>
      <c r="N3378">
        <v>4</v>
      </c>
      <c r="O3378">
        <v>0</v>
      </c>
      <c r="P3378">
        <v>12</v>
      </c>
      <c r="Q3378">
        <v>11</v>
      </c>
      <c r="R3378">
        <v>11</v>
      </c>
      <c r="S3378">
        <v>0</v>
      </c>
      <c r="T3378">
        <v>0</v>
      </c>
      <c r="U3378">
        <v>0</v>
      </c>
      <c r="V3378">
        <v>0</v>
      </c>
      <c r="W3378">
        <v>0</v>
      </c>
      <c r="X3378">
        <v>0</v>
      </c>
      <c r="Y3378">
        <v>11</v>
      </c>
      <c r="Z3378">
        <v>6</v>
      </c>
      <c r="AA3378">
        <v>0</v>
      </c>
      <c r="AC3378">
        <v>29</v>
      </c>
    </row>
    <row r="3379" spans="1:29">
      <c r="A3379">
        <v>3372</v>
      </c>
      <c r="B3379">
        <v>4795</v>
      </c>
      <c r="C3379" t="s">
        <v>872</v>
      </c>
      <c r="D3379" t="s">
        <v>98</v>
      </c>
      <c r="E3379" t="s">
        <v>134</v>
      </c>
      <c r="F3379" t="s">
        <v>6980</v>
      </c>
      <c r="G3379" t="str">
        <f>"00534400"</f>
        <v>00534400</v>
      </c>
      <c r="H3379">
        <v>26</v>
      </c>
      <c r="I3379">
        <v>0</v>
      </c>
      <c r="M3379">
        <v>0</v>
      </c>
      <c r="N3379">
        <v>0</v>
      </c>
      <c r="O3379">
        <v>0</v>
      </c>
      <c r="P3379">
        <v>26</v>
      </c>
      <c r="Q3379">
        <v>0</v>
      </c>
      <c r="R3379">
        <v>0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0</v>
      </c>
      <c r="Y3379">
        <v>0</v>
      </c>
      <c r="Z3379">
        <v>3</v>
      </c>
      <c r="AA3379">
        <v>0</v>
      </c>
      <c r="AC3379">
        <v>29</v>
      </c>
    </row>
    <row r="3380" spans="1:29">
      <c r="A3380">
        <v>3373</v>
      </c>
      <c r="B3380">
        <v>1774</v>
      </c>
      <c r="C3380" t="s">
        <v>6983</v>
      </c>
      <c r="D3380" t="s">
        <v>31</v>
      </c>
      <c r="E3380" t="s">
        <v>156</v>
      </c>
      <c r="F3380" t="s">
        <v>6984</v>
      </c>
      <c r="G3380" t="str">
        <f>"00688834"</f>
        <v>00688834</v>
      </c>
      <c r="H3380">
        <v>18.920000000000002</v>
      </c>
      <c r="I3380">
        <v>0</v>
      </c>
      <c r="M3380">
        <v>0</v>
      </c>
      <c r="N3380">
        <v>4</v>
      </c>
      <c r="O3380">
        <v>0</v>
      </c>
      <c r="P3380">
        <v>22.92</v>
      </c>
      <c r="Q3380">
        <v>0</v>
      </c>
      <c r="R3380">
        <v>0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0</v>
      </c>
      <c r="Y3380">
        <v>0</v>
      </c>
      <c r="Z3380">
        <v>6</v>
      </c>
      <c r="AA3380">
        <v>0</v>
      </c>
      <c r="AC3380">
        <v>28.92</v>
      </c>
    </row>
    <row r="3381" spans="1:29">
      <c r="A3381">
        <v>3374</v>
      </c>
      <c r="B3381">
        <v>2519</v>
      </c>
      <c r="C3381" t="s">
        <v>6981</v>
      </c>
      <c r="D3381" t="s">
        <v>35</v>
      </c>
      <c r="E3381" t="s">
        <v>122</v>
      </c>
      <c r="F3381" t="s">
        <v>6982</v>
      </c>
      <c r="G3381" t="str">
        <f>"00863285"</f>
        <v>00863285</v>
      </c>
      <c r="H3381">
        <v>18.920000000000002</v>
      </c>
      <c r="I3381">
        <v>0</v>
      </c>
      <c r="M3381">
        <v>0</v>
      </c>
      <c r="N3381">
        <v>4</v>
      </c>
      <c r="O3381">
        <v>0</v>
      </c>
      <c r="P3381">
        <v>22.92</v>
      </c>
      <c r="Q3381">
        <v>0</v>
      </c>
      <c r="R3381">
        <v>0</v>
      </c>
      <c r="S3381">
        <v>0</v>
      </c>
      <c r="T3381">
        <v>0</v>
      </c>
      <c r="U3381">
        <v>0</v>
      </c>
      <c r="V3381">
        <v>0</v>
      </c>
      <c r="W3381">
        <v>0</v>
      </c>
      <c r="X3381">
        <v>0</v>
      </c>
      <c r="Y3381">
        <v>0</v>
      </c>
      <c r="Z3381">
        <v>6</v>
      </c>
      <c r="AA3381">
        <v>0</v>
      </c>
      <c r="AC3381">
        <v>28.92</v>
      </c>
    </row>
    <row r="3382" spans="1:29">
      <c r="A3382">
        <v>3375</v>
      </c>
      <c r="B3382">
        <v>84</v>
      </c>
      <c r="C3382" t="s">
        <v>6985</v>
      </c>
      <c r="D3382" t="s">
        <v>52</v>
      </c>
      <c r="E3382" t="s">
        <v>79</v>
      </c>
      <c r="F3382" t="s">
        <v>6986</v>
      </c>
      <c r="G3382" t="str">
        <f>"201511026295"</f>
        <v>201511026295</v>
      </c>
      <c r="H3382">
        <v>14.92</v>
      </c>
      <c r="I3382">
        <v>10</v>
      </c>
      <c r="M3382">
        <v>0</v>
      </c>
      <c r="N3382">
        <v>4</v>
      </c>
      <c r="O3382">
        <v>0</v>
      </c>
      <c r="P3382">
        <v>28.92</v>
      </c>
      <c r="Q3382">
        <v>0</v>
      </c>
      <c r="R3382">
        <v>0</v>
      </c>
      <c r="S3382">
        <v>0</v>
      </c>
      <c r="T3382">
        <v>0</v>
      </c>
      <c r="U3382">
        <v>0</v>
      </c>
      <c r="V3382">
        <v>0</v>
      </c>
      <c r="W3382">
        <v>0</v>
      </c>
      <c r="X3382">
        <v>0</v>
      </c>
      <c r="Y3382">
        <v>0</v>
      </c>
      <c r="Z3382">
        <v>0</v>
      </c>
      <c r="AA3382">
        <v>0</v>
      </c>
      <c r="AC3382">
        <v>28.92</v>
      </c>
    </row>
    <row r="3383" spans="1:29">
      <c r="A3383">
        <v>3376</v>
      </c>
      <c r="B3383">
        <v>4071</v>
      </c>
      <c r="C3383" t="s">
        <v>6987</v>
      </c>
      <c r="D3383" t="s">
        <v>6988</v>
      </c>
      <c r="E3383" t="s">
        <v>18</v>
      </c>
      <c r="F3383" t="s">
        <v>6989</v>
      </c>
      <c r="G3383" t="str">
        <f>"00862506"</f>
        <v>00862506</v>
      </c>
      <c r="H3383">
        <v>18.84</v>
      </c>
      <c r="I3383">
        <v>0</v>
      </c>
      <c r="M3383">
        <v>0</v>
      </c>
      <c r="N3383">
        <v>4</v>
      </c>
      <c r="O3383">
        <v>0</v>
      </c>
      <c r="P3383">
        <v>22.84</v>
      </c>
      <c r="Q3383">
        <v>0</v>
      </c>
      <c r="R3383">
        <v>0</v>
      </c>
      <c r="S3383">
        <v>0</v>
      </c>
      <c r="T3383">
        <v>0</v>
      </c>
      <c r="U3383">
        <v>0</v>
      </c>
      <c r="V3383">
        <v>0</v>
      </c>
      <c r="W3383">
        <v>0</v>
      </c>
      <c r="X3383">
        <v>0</v>
      </c>
      <c r="Y3383">
        <v>0</v>
      </c>
      <c r="Z3383">
        <v>6</v>
      </c>
      <c r="AA3383">
        <v>0</v>
      </c>
      <c r="AC3383">
        <v>28.84</v>
      </c>
    </row>
    <row r="3384" spans="1:29">
      <c r="A3384">
        <v>3377</v>
      </c>
      <c r="B3384">
        <v>4460</v>
      </c>
      <c r="C3384" t="s">
        <v>535</v>
      </c>
      <c r="D3384" t="s">
        <v>39</v>
      </c>
      <c r="E3384" t="s">
        <v>36</v>
      </c>
      <c r="F3384" t="s">
        <v>6990</v>
      </c>
      <c r="G3384" t="str">
        <f>"00442267"</f>
        <v>00442267</v>
      </c>
      <c r="H3384">
        <v>18.84</v>
      </c>
      <c r="I3384">
        <v>10</v>
      </c>
      <c r="M3384">
        <v>0</v>
      </c>
      <c r="N3384">
        <v>0</v>
      </c>
      <c r="O3384">
        <v>0</v>
      </c>
      <c r="P3384">
        <v>28.84</v>
      </c>
      <c r="Q3384">
        <v>0</v>
      </c>
      <c r="R3384">
        <v>0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  <c r="Y3384">
        <v>0</v>
      </c>
      <c r="Z3384">
        <v>0</v>
      </c>
      <c r="AA3384">
        <v>0</v>
      </c>
      <c r="AC3384">
        <v>28.84</v>
      </c>
    </row>
    <row r="3385" spans="1:29">
      <c r="A3385">
        <v>3378</v>
      </c>
      <c r="B3385">
        <v>3651</v>
      </c>
      <c r="C3385" t="s">
        <v>6991</v>
      </c>
      <c r="D3385" t="s">
        <v>86</v>
      </c>
      <c r="E3385" t="s">
        <v>32</v>
      </c>
      <c r="F3385" t="s">
        <v>6992</v>
      </c>
      <c r="G3385" t="str">
        <f>"00864152"</f>
        <v>00864152</v>
      </c>
      <c r="H3385">
        <v>22.8</v>
      </c>
      <c r="I3385">
        <v>0</v>
      </c>
      <c r="M3385">
        <v>0</v>
      </c>
      <c r="N3385">
        <v>0</v>
      </c>
      <c r="O3385">
        <v>0</v>
      </c>
      <c r="P3385">
        <v>22.8</v>
      </c>
      <c r="Q3385">
        <v>0</v>
      </c>
      <c r="R3385">
        <v>0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0</v>
      </c>
      <c r="Y3385">
        <v>0</v>
      </c>
      <c r="Z3385">
        <v>6</v>
      </c>
      <c r="AA3385">
        <v>0</v>
      </c>
      <c r="AC3385">
        <v>28.8</v>
      </c>
    </row>
    <row r="3386" spans="1:29">
      <c r="A3386">
        <v>3379</v>
      </c>
      <c r="B3386">
        <v>1821</v>
      </c>
      <c r="C3386" t="s">
        <v>571</v>
      </c>
      <c r="D3386" t="s">
        <v>4984</v>
      </c>
      <c r="E3386" t="s">
        <v>122</v>
      </c>
      <c r="F3386" t="s">
        <v>7001</v>
      </c>
      <c r="G3386" t="str">
        <f>"00861076"</f>
        <v>00861076</v>
      </c>
      <c r="H3386">
        <v>28.8</v>
      </c>
      <c r="I3386">
        <v>0</v>
      </c>
      <c r="M3386">
        <v>0</v>
      </c>
      <c r="N3386">
        <v>0</v>
      </c>
      <c r="O3386">
        <v>0</v>
      </c>
      <c r="P3386">
        <v>28.8</v>
      </c>
      <c r="Q3386">
        <v>0</v>
      </c>
      <c r="R3386">
        <v>0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0</v>
      </c>
      <c r="Y3386">
        <v>0</v>
      </c>
      <c r="Z3386">
        <v>0</v>
      </c>
      <c r="AA3386">
        <v>0</v>
      </c>
      <c r="AC3386">
        <v>28.8</v>
      </c>
    </row>
    <row r="3387" spans="1:29">
      <c r="A3387">
        <v>3380</v>
      </c>
      <c r="B3387">
        <v>4893</v>
      </c>
      <c r="C3387" t="s">
        <v>7002</v>
      </c>
      <c r="D3387" t="s">
        <v>175</v>
      </c>
      <c r="E3387" t="s">
        <v>18</v>
      </c>
      <c r="F3387" t="s">
        <v>7003</v>
      </c>
      <c r="G3387" t="str">
        <f>"00863491"</f>
        <v>00863491</v>
      </c>
      <c r="H3387">
        <v>28.8</v>
      </c>
      <c r="I3387">
        <v>0</v>
      </c>
      <c r="M3387">
        <v>0</v>
      </c>
      <c r="N3387">
        <v>0</v>
      </c>
      <c r="O3387">
        <v>0</v>
      </c>
      <c r="P3387">
        <v>28.8</v>
      </c>
      <c r="Q3387">
        <v>0</v>
      </c>
      <c r="R3387">
        <v>0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0</v>
      </c>
      <c r="Y3387">
        <v>0</v>
      </c>
      <c r="Z3387">
        <v>0</v>
      </c>
      <c r="AA3387">
        <v>0</v>
      </c>
      <c r="AC3387">
        <v>28.8</v>
      </c>
    </row>
    <row r="3388" spans="1:29">
      <c r="A3388">
        <v>3381</v>
      </c>
      <c r="B3388">
        <v>518</v>
      </c>
      <c r="C3388" t="s">
        <v>5984</v>
      </c>
      <c r="D3388" t="s">
        <v>147</v>
      </c>
      <c r="E3388" t="s">
        <v>15</v>
      </c>
      <c r="F3388" t="s">
        <v>6995</v>
      </c>
      <c r="G3388" t="str">
        <f>"00529543"</f>
        <v>00529543</v>
      </c>
      <c r="H3388">
        <v>28.8</v>
      </c>
      <c r="I3388">
        <v>0</v>
      </c>
      <c r="M3388">
        <v>0</v>
      </c>
      <c r="N3388">
        <v>0</v>
      </c>
      <c r="O3388">
        <v>0</v>
      </c>
      <c r="P3388">
        <v>28.8</v>
      </c>
      <c r="Q3388">
        <v>0</v>
      </c>
      <c r="R3388">
        <v>0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0</v>
      </c>
      <c r="Y3388">
        <v>0</v>
      </c>
      <c r="Z3388">
        <v>0</v>
      </c>
      <c r="AA3388">
        <v>0</v>
      </c>
      <c r="AC3388">
        <v>28.8</v>
      </c>
    </row>
    <row r="3389" spans="1:29">
      <c r="A3389">
        <v>3382</v>
      </c>
      <c r="B3389">
        <v>1450</v>
      </c>
      <c r="C3389" t="s">
        <v>7004</v>
      </c>
      <c r="D3389" t="s">
        <v>24</v>
      </c>
      <c r="E3389" t="s">
        <v>156</v>
      </c>
      <c r="F3389" t="s">
        <v>7005</v>
      </c>
      <c r="G3389" t="str">
        <f>"00561378"</f>
        <v>00561378</v>
      </c>
      <c r="H3389">
        <v>28.8</v>
      </c>
      <c r="I3389">
        <v>0</v>
      </c>
      <c r="M3389">
        <v>0</v>
      </c>
      <c r="N3389">
        <v>0</v>
      </c>
      <c r="O3389">
        <v>0</v>
      </c>
      <c r="P3389">
        <v>28.8</v>
      </c>
      <c r="Q3389">
        <v>0</v>
      </c>
      <c r="R3389">
        <v>0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0</v>
      </c>
      <c r="Y3389">
        <v>0</v>
      </c>
      <c r="Z3389">
        <v>0</v>
      </c>
      <c r="AA3389">
        <v>0</v>
      </c>
      <c r="AC3389">
        <v>28.8</v>
      </c>
    </row>
    <row r="3390" spans="1:29">
      <c r="A3390">
        <v>3383</v>
      </c>
      <c r="B3390">
        <v>612</v>
      </c>
      <c r="C3390" t="s">
        <v>7013</v>
      </c>
      <c r="D3390" t="s">
        <v>433</v>
      </c>
      <c r="E3390" t="s">
        <v>36</v>
      </c>
      <c r="F3390" t="s">
        <v>7014</v>
      </c>
      <c r="G3390" t="str">
        <f>"00518974"</f>
        <v>00518974</v>
      </c>
      <c r="H3390">
        <v>28.8</v>
      </c>
      <c r="I3390">
        <v>0</v>
      </c>
      <c r="M3390">
        <v>0</v>
      </c>
      <c r="N3390">
        <v>0</v>
      </c>
      <c r="O3390">
        <v>0</v>
      </c>
      <c r="P3390">
        <v>28.8</v>
      </c>
      <c r="Q3390">
        <v>0</v>
      </c>
      <c r="R3390">
        <v>0</v>
      </c>
      <c r="S3390">
        <v>0</v>
      </c>
      <c r="T3390">
        <v>0</v>
      </c>
      <c r="U3390">
        <v>0</v>
      </c>
      <c r="V3390">
        <v>0</v>
      </c>
      <c r="W3390">
        <v>0</v>
      </c>
      <c r="X3390">
        <v>0</v>
      </c>
      <c r="Y3390">
        <v>0</v>
      </c>
      <c r="Z3390">
        <v>0</v>
      </c>
      <c r="AA3390">
        <v>0</v>
      </c>
      <c r="AC3390">
        <v>28.8</v>
      </c>
    </row>
    <row r="3391" spans="1:29">
      <c r="A3391">
        <v>3384</v>
      </c>
      <c r="B3391">
        <v>4826</v>
      </c>
      <c r="C3391" t="s">
        <v>6993</v>
      </c>
      <c r="D3391" t="s">
        <v>205</v>
      </c>
      <c r="E3391" t="s">
        <v>252</v>
      </c>
      <c r="F3391" t="s">
        <v>6994</v>
      </c>
      <c r="G3391" t="str">
        <f>"00865343"</f>
        <v>00865343</v>
      </c>
      <c r="H3391">
        <v>28.8</v>
      </c>
      <c r="I3391">
        <v>0</v>
      </c>
      <c r="M3391">
        <v>0</v>
      </c>
      <c r="N3391">
        <v>0</v>
      </c>
      <c r="O3391">
        <v>0</v>
      </c>
      <c r="P3391">
        <v>28.8</v>
      </c>
      <c r="Q3391">
        <v>0</v>
      </c>
      <c r="R3391">
        <v>0</v>
      </c>
      <c r="S3391">
        <v>0</v>
      </c>
      <c r="T3391">
        <v>0</v>
      </c>
      <c r="U3391">
        <v>0</v>
      </c>
      <c r="V3391">
        <v>0</v>
      </c>
      <c r="W3391">
        <v>0</v>
      </c>
      <c r="X3391">
        <v>0</v>
      </c>
      <c r="Y3391">
        <v>0</v>
      </c>
      <c r="Z3391">
        <v>0</v>
      </c>
      <c r="AA3391">
        <v>0</v>
      </c>
      <c r="AC3391">
        <v>28.8</v>
      </c>
    </row>
    <row r="3392" spans="1:29">
      <c r="A3392">
        <v>3385</v>
      </c>
      <c r="B3392">
        <v>4740</v>
      </c>
      <c r="C3392" t="s">
        <v>6999</v>
      </c>
      <c r="D3392" t="s">
        <v>35</v>
      </c>
      <c r="E3392" t="s">
        <v>89</v>
      </c>
      <c r="F3392" t="s">
        <v>7000</v>
      </c>
      <c r="G3392" t="str">
        <f>"00855424"</f>
        <v>00855424</v>
      </c>
      <c r="H3392">
        <v>28.8</v>
      </c>
      <c r="I3392">
        <v>0</v>
      </c>
      <c r="M3392">
        <v>0</v>
      </c>
      <c r="N3392">
        <v>0</v>
      </c>
      <c r="O3392">
        <v>0</v>
      </c>
      <c r="P3392">
        <v>28.8</v>
      </c>
      <c r="Q3392">
        <v>0</v>
      </c>
      <c r="R3392">
        <v>0</v>
      </c>
      <c r="S3392">
        <v>0</v>
      </c>
      <c r="T3392">
        <v>0</v>
      </c>
      <c r="U3392">
        <v>0</v>
      </c>
      <c r="V3392">
        <v>0</v>
      </c>
      <c r="W3392">
        <v>0</v>
      </c>
      <c r="X3392">
        <v>0</v>
      </c>
      <c r="Y3392">
        <v>0</v>
      </c>
      <c r="Z3392">
        <v>0</v>
      </c>
      <c r="AA3392">
        <v>0</v>
      </c>
      <c r="AC3392">
        <v>28.8</v>
      </c>
    </row>
    <row r="3393" spans="1:29">
      <c r="A3393">
        <v>3386</v>
      </c>
      <c r="B3393">
        <v>2845</v>
      </c>
      <c r="C3393" t="s">
        <v>7010</v>
      </c>
      <c r="D3393" t="s">
        <v>739</v>
      </c>
      <c r="E3393" t="s">
        <v>115</v>
      </c>
      <c r="F3393" t="s">
        <v>7011</v>
      </c>
      <c r="G3393" t="str">
        <f>"00827783"</f>
        <v>00827783</v>
      </c>
      <c r="H3393">
        <v>28.8</v>
      </c>
      <c r="I3393">
        <v>0</v>
      </c>
      <c r="M3393">
        <v>0</v>
      </c>
      <c r="N3393">
        <v>0</v>
      </c>
      <c r="O3393">
        <v>0</v>
      </c>
      <c r="P3393">
        <v>28.8</v>
      </c>
      <c r="Q3393">
        <v>0</v>
      </c>
      <c r="R3393">
        <v>0</v>
      </c>
      <c r="S3393">
        <v>0</v>
      </c>
      <c r="T3393">
        <v>0</v>
      </c>
      <c r="U3393">
        <v>0</v>
      </c>
      <c r="V3393">
        <v>0</v>
      </c>
      <c r="W3393">
        <v>0</v>
      </c>
      <c r="X3393">
        <v>0</v>
      </c>
      <c r="Y3393">
        <v>0</v>
      </c>
      <c r="Z3393">
        <v>0</v>
      </c>
      <c r="AA3393">
        <v>0</v>
      </c>
      <c r="AC3393">
        <v>28.8</v>
      </c>
    </row>
    <row r="3394" spans="1:29">
      <c r="A3394">
        <v>3387</v>
      </c>
      <c r="B3394">
        <v>3968</v>
      </c>
      <c r="C3394" t="s">
        <v>677</v>
      </c>
      <c r="D3394" t="s">
        <v>86</v>
      </c>
      <c r="E3394" t="s">
        <v>122</v>
      </c>
      <c r="F3394" t="s">
        <v>7012</v>
      </c>
      <c r="G3394" t="str">
        <f>"00533753"</f>
        <v>00533753</v>
      </c>
      <c r="H3394">
        <v>28.8</v>
      </c>
      <c r="I3394">
        <v>0</v>
      </c>
      <c r="M3394">
        <v>0</v>
      </c>
      <c r="N3394">
        <v>0</v>
      </c>
      <c r="O3394">
        <v>0</v>
      </c>
      <c r="P3394">
        <v>28.8</v>
      </c>
      <c r="Q3394">
        <v>0</v>
      </c>
      <c r="R3394">
        <v>0</v>
      </c>
      <c r="S3394">
        <v>0</v>
      </c>
      <c r="T3394">
        <v>0</v>
      </c>
      <c r="U3394">
        <v>0</v>
      </c>
      <c r="V3394">
        <v>0</v>
      </c>
      <c r="W3394">
        <v>0</v>
      </c>
      <c r="X3394">
        <v>0</v>
      </c>
      <c r="Y3394">
        <v>0</v>
      </c>
      <c r="Z3394">
        <v>0</v>
      </c>
      <c r="AA3394">
        <v>0</v>
      </c>
      <c r="AC3394">
        <v>28.8</v>
      </c>
    </row>
    <row r="3395" spans="1:29">
      <c r="A3395">
        <v>3388</v>
      </c>
      <c r="B3395">
        <v>3767</v>
      </c>
      <c r="C3395" t="s">
        <v>7006</v>
      </c>
      <c r="D3395" t="s">
        <v>1509</v>
      </c>
      <c r="E3395" t="s">
        <v>18</v>
      </c>
      <c r="F3395" t="s">
        <v>7007</v>
      </c>
      <c r="G3395" t="str">
        <f>"00531221"</f>
        <v>00531221</v>
      </c>
      <c r="H3395">
        <v>28.8</v>
      </c>
      <c r="I3395">
        <v>0</v>
      </c>
      <c r="M3395">
        <v>0</v>
      </c>
      <c r="N3395">
        <v>0</v>
      </c>
      <c r="O3395">
        <v>0</v>
      </c>
      <c r="P3395">
        <v>28.8</v>
      </c>
      <c r="Q3395">
        <v>0</v>
      </c>
      <c r="R3395">
        <v>0</v>
      </c>
      <c r="S3395">
        <v>0</v>
      </c>
      <c r="T3395">
        <v>0</v>
      </c>
      <c r="U3395">
        <v>0</v>
      </c>
      <c r="V3395">
        <v>0</v>
      </c>
      <c r="W3395">
        <v>0</v>
      </c>
      <c r="X3395">
        <v>0</v>
      </c>
      <c r="Y3395">
        <v>0</v>
      </c>
      <c r="Z3395">
        <v>0</v>
      </c>
      <c r="AA3395">
        <v>0</v>
      </c>
      <c r="AC3395">
        <v>28.8</v>
      </c>
    </row>
    <row r="3396" spans="1:29">
      <c r="A3396">
        <v>3389</v>
      </c>
      <c r="B3396">
        <v>2929</v>
      </c>
      <c r="C3396" t="s">
        <v>7008</v>
      </c>
      <c r="D3396" t="s">
        <v>784</v>
      </c>
      <c r="E3396" t="s">
        <v>122</v>
      </c>
      <c r="F3396" t="s">
        <v>7009</v>
      </c>
      <c r="G3396" t="str">
        <f>"00860198"</f>
        <v>00860198</v>
      </c>
      <c r="H3396">
        <v>28.8</v>
      </c>
      <c r="I3396">
        <v>0</v>
      </c>
      <c r="M3396">
        <v>0</v>
      </c>
      <c r="N3396">
        <v>0</v>
      </c>
      <c r="O3396">
        <v>0</v>
      </c>
      <c r="P3396">
        <v>28.8</v>
      </c>
      <c r="Q3396">
        <v>0</v>
      </c>
      <c r="R3396">
        <v>0</v>
      </c>
      <c r="S3396">
        <v>0</v>
      </c>
      <c r="T3396">
        <v>0</v>
      </c>
      <c r="U3396">
        <v>0</v>
      </c>
      <c r="V3396">
        <v>0</v>
      </c>
      <c r="W3396">
        <v>0</v>
      </c>
      <c r="X3396">
        <v>0</v>
      </c>
      <c r="Y3396">
        <v>0</v>
      </c>
      <c r="Z3396">
        <v>0</v>
      </c>
      <c r="AA3396">
        <v>0</v>
      </c>
      <c r="AC3396">
        <v>28.8</v>
      </c>
    </row>
    <row r="3397" spans="1:29">
      <c r="A3397">
        <v>3390</v>
      </c>
      <c r="B3397">
        <v>4166</v>
      </c>
      <c r="C3397" t="s">
        <v>7017</v>
      </c>
      <c r="D3397" t="s">
        <v>98</v>
      </c>
      <c r="E3397" t="s">
        <v>60</v>
      </c>
      <c r="F3397" t="s">
        <v>7018</v>
      </c>
      <c r="G3397" t="str">
        <f>"00864685"</f>
        <v>00864685</v>
      </c>
      <c r="H3397">
        <v>28.8</v>
      </c>
      <c r="I3397">
        <v>0</v>
      </c>
      <c r="M3397">
        <v>0</v>
      </c>
      <c r="N3397">
        <v>0</v>
      </c>
      <c r="O3397">
        <v>0</v>
      </c>
      <c r="P3397">
        <v>28.8</v>
      </c>
      <c r="Q3397">
        <v>0</v>
      </c>
      <c r="R3397">
        <v>0</v>
      </c>
      <c r="S3397">
        <v>0</v>
      </c>
      <c r="T3397">
        <v>0</v>
      </c>
      <c r="U3397">
        <v>0</v>
      </c>
      <c r="V3397">
        <v>0</v>
      </c>
      <c r="W3397">
        <v>0</v>
      </c>
      <c r="X3397">
        <v>0</v>
      </c>
      <c r="Y3397">
        <v>0</v>
      </c>
      <c r="Z3397">
        <v>0</v>
      </c>
      <c r="AA3397">
        <v>0</v>
      </c>
      <c r="AC3397">
        <v>28.8</v>
      </c>
    </row>
    <row r="3398" spans="1:29">
      <c r="A3398">
        <v>3391</v>
      </c>
      <c r="B3398">
        <v>1064</v>
      </c>
      <c r="C3398" t="s">
        <v>5922</v>
      </c>
      <c r="D3398" t="s">
        <v>205</v>
      </c>
      <c r="E3398" t="s">
        <v>79</v>
      </c>
      <c r="F3398" t="s">
        <v>6996</v>
      </c>
      <c r="G3398" t="str">
        <f>"00859583"</f>
        <v>00859583</v>
      </c>
      <c r="H3398">
        <v>28.8</v>
      </c>
      <c r="I3398">
        <v>0</v>
      </c>
      <c r="M3398">
        <v>0</v>
      </c>
      <c r="N3398">
        <v>0</v>
      </c>
      <c r="O3398">
        <v>0</v>
      </c>
      <c r="P3398">
        <v>28.8</v>
      </c>
      <c r="Q3398">
        <v>0</v>
      </c>
      <c r="R3398">
        <v>0</v>
      </c>
      <c r="S3398">
        <v>0</v>
      </c>
      <c r="T3398">
        <v>0</v>
      </c>
      <c r="U3398">
        <v>0</v>
      </c>
      <c r="V3398">
        <v>0</v>
      </c>
      <c r="W3398">
        <v>0</v>
      </c>
      <c r="X3398">
        <v>0</v>
      </c>
      <c r="Y3398">
        <v>0</v>
      </c>
      <c r="Z3398">
        <v>0</v>
      </c>
      <c r="AA3398">
        <v>0</v>
      </c>
      <c r="AC3398">
        <v>28.8</v>
      </c>
    </row>
    <row r="3399" spans="1:29">
      <c r="A3399">
        <v>3392</v>
      </c>
      <c r="B3399">
        <v>4825</v>
      </c>
      <c r="C3399" t="s">
        <v>278</v>
      </c>
      <c r="D3399" t="s">
        <v>6997</v>
      </c>
      <c r="E3399" t="s">
        <v>237</v>
      </c>
      <c r="F3399" t="s">
        <v>6998</v>
      </c>
      <c r="G3399" t="str">
        <f>"00863270"</f>
        <v>00863270</v>
      </c>
      <c r="H3399">
        <v>28.8</v>
      </c>
      <c r="I3399">
        <v>0</v>
      </c>
      <c r="M3399">
        <v>0</v>
      </c>
      <c r="N3399">
        <v>0</v>
      </c>
      <c r="O3399">
        <v>0</v>
      </c>
      <c r="P3399">
        <v>28.8</v>
      </c>
      <c r="Q3399">
        <v>0</v>
      </c>
      <c r="R3399">
        <v>0</v>
      </c>
      <c r="S3399">
        <v>0</v>
      </c>
      <c r="T3399">
        <v>0</v>
      </c>
      <c r="U3399">
        <v>0</v>
      </c>
      <c r="V3399">
        <v>0</v>
      </c>
      <c r="W3399">
        <v>0</v>
      </c>
      <c r="X3399">
        <v>0</v>
      </c>
      <c r="Y3399">
        <v>0</v>
      </c>
      <c r="Z3399">
        <v>0</v>
      </c>
      <c r="AA3399">
        <v>0</v>
      </c>
      <c r="AC3399">
        <v>28.8</v>
      </c>
    </row>
    <row r="3400" spans="1:29">
      <c r="A3400">
        <v>3393</v>
      </c>
      <c r="B3400">
        <v>2089</v>
      </c>
      <c r="C3400" t="s">
        <v>7015</v>
      </c>
      <c r="D3400" t="s">
        <v>557</v>
      </c>
      <c r="E3400" t="s">
        <v>15</v>
      </c>
      <c r="F3400" t="s">
        <v>7016</v>
      </c>
      <c r="G3400" t="str">
        <f>"00864465"</f>
        <v>00864465</v>
      </c>
      <c r="H3400">
        <v>28.8</v>
      </c>
      <c r="I3400">
        <v>0</v>
      </c>
      <c r="M3400">
        <v>0</v>
      </c>
      <c r="N3400">
        <v>0</v>
      </c>
      <c r="O3400">
        <v>0</v>
      </c>
      <c r="P3400">
        <v>28.8</v>
      </c>
      <c r="Q3400">
        <v>0</v>
      </c>
      <c r="R3400">
        <v>0</v>
      </c>
      <c r="S3400">
        <v>0</v>
      </c>
      <c r="T3400">
        <v>0</v>
      </c>
      <c r="U3400">
        <v>0</v>
      </c>
      <c r="V3400">
        <v>0</v>
      </c>
      <c r="W3400">
        <v>0</v>
      </c>
      <c r="X3400">
        <v>0</v>
      </c>
      <c r="Y3400">
        <v>0</v>
      </c>
      <c r="Z3400">
        <v>0</v>
      </c>
      <c r="AA3400">
        <v>0</v>
      </c>
      <c r="AC3400">
        <v>28.8</v>
      </c>
    </row>
    <row r="3401" spans="1:29">
      <c r="A3401">
        <v>3394</v>
      </c>
      <c r="B3401">
        <v>2316</v>
      </c>
      <c r="C3401" t="s">
        <v>7019</v>
      </c>
      <c r="D3401" t="s">
        <v>35</v>
      </c>
      <c r="E3401" t="s">
        <v>66</v>
      </c>
      <c r="F3401" t="s">
        <v>7020</v>
      </c>
      <c r="G3401" t="str">
        <f>"00862759"</f>
        <v>00862759</v>
      </c>
      <c r="H3401">
        <v>16.8</v>
      </c>
      <c r="I3401">
        <v>0</v>
      </c>
      <c r="J3401">
        <v>8</v>
      </c>
      <c r="M3401">
        <v>8</v>
      </c>
      <c r="N3401">
        <v>4</v>
      </c>
      <c r="O3401">
        <v>0</v>
      </c>
      <c r="P3401">
        <v>28.8</v>
      </c>
      <c r="Q3401">
        <v>0</v>
      </c>
      <c r="R3401">
        <v>0</v>
      </c>
      <c r="S3401">
        <v>0</v>
      </c>
      <c r="T3401">
        <v>0</v>
      </c>
      <c r="U3401">
        <v>0</v>
      </c>
      <c r="V3401">
        <v>0</v>
      </c>
      <c r="W3401">
        <v>0</v>
      </c>
      <c r="X3401">
        <v>0</v>
      </c>
      <c r="Y3401">
        <v>0</v>
      </c>
      <c r="Z3401">
        <v>0</v>
      </c>
      <c r="AA3401">
        <v>0</v>
      </c>
      <c r="AC3401">
        <v>28.8</v>
      </c>
    </row>
    <row r="3402" spans="1:29">
      <c r="A3402">
        <v>3395</v>
      </c>
      <c r="B3402">
        <v>2741</v>
      </c>
      <c r="C3402" t="s">
        <v>7021</v>
      </c>
      <c r="D3402" t="s">
        <v>86</v>
      </c>
      <c r="E3402" t="s">
        <v>134</v>
      </c>
      <c r="F3402" t="s">
        <v>7022</v>
      </c>
      <c r="G3402" t="str">
        <f>"00860651"</f>
        <v>00860651</v>
      </c>
      <c r="H3402">
        <v>18.760000000000002</v>
      </c>
      <c r="I3402">
        <v>0</v>
      </c>
      <c r="M3402">
        <v>0</v>
      </c>
      <c r="N3402">
        <v>4</v>
      </c>
      <c r="O3402">
        <v>0</v>
      </c>
      <c r="P3402">
        <v>22.76</v>
      </c>
      <c r="Q3402">
        <v>0</v>
      </c>
      <c r="R3402">
        <v>0</v>
      </c>
      <c r="S3402">
        <v>0</v>
      </c>
      <c r="T3402">
        <v>0</v>
      </c>
      <c r="U3402">
        <v>0</v>
      </c>
      <c r="V3402">
        <v>0</v>
      </c>
      <c r="W3402">
        <v>0</v>
      </c>
      <c r="X3402">
        <v>0</v>
      </c>
      <c r="Y3402">
        <v>0</v>
      </c>
      <c r="Z3402">
        <v>6</v>
      </c>
      <c r="AA3402">
        <v>0</v>
      </c>
      <c r="AC3402">
        <v>28.76</v>
      </c>
    </row>
    <row r="3403" spans="1:29">
      <c r="A3403">
        <v>3396</v>
      </c>
      <c r="B3403">
        <v>299</v>
      </c>
      <c r="C3403" t="s">
        <v>7023</v>
      </c>
      <c r="D3403" t="s">
        <v>86</v>
      </c>
      <c r="E3403" t="s">
        <v>292</v>
      </c>
      <c r="F3403" t="s">
        <v>7024</v>
      </c>
      <c r="G3403" t="str">
        <f>"00857804"</f>
        <v>00857804</v>
      </c>
      <c r="H3403">
        <v>19.72</v>
      </c>
      <c r="I3403">
        <v>0</v>
      </c>
      <c r="M3403">
        <v>0</v>
      </c>
      <c r="N3403">
        <v>0</v>
      </c>
      <c r="O3403">
        <v>0</v>
      </c>
      <c r="P3403">
        <v>19.72</v>
      </c>
      <c r="Q3403">
        <v>0</v>
      </c>
      <c r="R3403">
        <v>0</v>
      </c>
      <c r="S3403">
        <v>0</v>
      </c>
      <c r="T3403">
        <v>0</v>
      </c>
      <c r="U3403">
        <v>0</v>
      </c>
      <c r="V3403">
        <v>0</v>
      </c>
      <c r="W3403">
        <v>0</v>
      </c>
      <c r="X3403">
        <v>0</v>
      </c>
      <c r="Y3403">
        <v>0</v>
      </c>
      <c r="Z3403">
        <v>9</v>
      </c>
      <c r="AA3403">
        <v>0</v>
      </c>
      <c r="AC3403">
        <v>28.72</v>
      </c>
    </row>
    <row r="3404" spans="1:29">
      <c r="A3404">
        <v>3397</v>
      </c>
      <c r="B3404">
        <v>639</v>
      </c>
      <c r="C3404" t="s">
        <v>1877</v>
      </c>
      <c r="D3404" t="s">
        <v>27</v>
      </c>
      <c r="E3404" t="s">
        <v>79</v>
      </c>
      <c r="F3404" t="s">
        <v>7025</v>
      </c>
      <c r="G3404" t="str">
        <f>"00857224"</f>
        <v>00857224</v>
      </c>
      <c r="H3404">
        <v>25.6</v>
      </c>
      <c r="I3404">
        <v>0</v>
      </c>
      <c r="M3404">
        <v>0</v>
      </c>
      <c r="N3404">
        <v>0</v>
      </c>
      <c r="O3404">
        <v>0</v>
      </c>
      <c r="P3404">
        <v>25.6</v>
      </c>
      <c r="Q3404">
        <v>0</v>
      </c>
      <c r="R3404">
        <v>0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0</v>
      </c>
      <c r="Y3404">
        <v>0</v>
      </c>
      <c r="Z3404">
        <v>3</v>
      </c>
      <c r="AA3404">
        <v>0</v>
      </c>
      <c r="AC3404">
        <v>28.6</v>
      </c>
    </row>
    <row r="3405" spans="1:29">
      <c r="A3405">
        <v>3398</v>
      </c>
      <c r="B3405">
        <v>280</v>
      </c>
      <c r="C3405" t="s">
        <v>1694</v>
      </c>
      <c r="D3405" t="s">
        <v>52</v>
      </c>
      <c r="E3405" t="s">
        <v>379</v>
      </c>
      <c r="F3405" t="s">
        <v>7028</v>
      </c>
      <c r="G3405" t="str">
        <f>"00856582"</f>
        <v>00856582</v>
      </c>
      <c r="H3405">
        <v>21.6</v>
      </c>
      <c r="I3405">
        <v>0</v>
      </c>
      <c r="M3405">
        <v>0</v>
      </c>
      <c r="N3405">
        <v>4</v>
      </c>
      <c r="O3405">
        <v>0</v>
      </c>
      <c r="P3405">
        <v>25.6</v>
      </c>
      <c r="Q3405">
        <v>0</v>
      </c>
      <c r="R3405">
        <v>0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0</v>
      </c>
      <c r="Y3405">
        <v>0</v>
      </c>
      <c r="Z3405">
        <v>3</v>
      </c>
      <c r="AA3405">
        <v>0</v>
      </c>
      <c r="AC3405">
        <v>28.6</v>
      </c>
    </row>
    <row r="3406" spans="1:29">
      <c r="A3406">
        <v>3399</v>
      </c>
      <c r="B3406">
        <v>4867</v>
      </c>
      <c r="C3406" t="s">
        <v>7029</v>
      </c>
      <c r="D3406" t="s">
        <v>7030</v>
      </c>
      <c r="E3406" t="s">
        <v>379</v>
      </c>
      <c r="F3406" t="s">
        <v>7031</v>
      </c>
      <c r="G3406" t="str">
        <f>"00560482"</f>
        <v>00560482</v>
      </c>
      <c r="H3406">
        <v>21.6</v>
      </c>
      <c r="I3406">
        <v>0</v>
      </c>
      <c r="M3406">
        <v>0</v>
      </c>
      <c r="N3406">
        <v>4</v>
      </c>
      <c r="O3406">
        <v>0</v>
      </c>
      <c r="P3406">
        <v>25.6</v>
      </c>
      <c r="Q3406">
        <v>0</v>
      </c>
      <c r="R3406">
        <v>0</v>
      </c>
      <c r="S3406">
        <v>0</v>
      </c>
      <c r="T3406">
        <v>0</v>
      </c>
      <c r="U3406">
        <v>0</v>
      </c>
      <c r="V3406">
        <v>0</v>
      </c>
      <c r="W3406">
        <v>0</v>
      </c>
      <c r="X3406">
        <v>0</v>
      </c>
      <c r="Y3406">
        <v>0</v>
      </c>
      <c r="Z3406">
        <v>3</v>
      </c>
      <c r="AA3406">
        <v>0</v>
      </c>
      <c r="AC3406">
        <v>28.6</v>
      </c>
    </row>
    <row r="3407" spans="1:29">
      <c r="A3407">
        <v>3400</v>
      </c>
      <c r="B3407">
        <v>3397</v>
      </c>
      <c r="C3407" t="s">
        <v>1282</v>
      </c>
      <c r="D3407" t="s">
        <v>20</v>
      </c>
      <c r="E3407" t="s">
        <v>134</v>
      </c>
      <c r="F3407" t="s">
        <v>7034</v>
      </c>
      <c r="G3407" t="str">
        <f>"00865109"</f>
        <v>00865109</v>
      </c>
      <c r="H3407">
        <v>21.6</v>
      </c>
      <c r="I3407">
        <v>0</v>
      </c>
      <c r="L3407">
        <v>4</v>
      </c>
      <c r="M3407">
        <v>4</v>
      </c>
      <c r="N3407">
        <v>0</v>
      </c>
      <c r="O3407">
        <v>0</v>
      </c>
      <c r="P3407">
        <v>25.6</v>
      </c>
      <c r="Q3407">
        <v>0</v>
      </c>
      <c r="R3407">
        <v>0</v>
      </c>
      <c r="S3407">
        <v>0</v>
      </c>
      <c r="T3407">
        <v>0</v>
      </c>
      <c r="U3407">
        <v>0</v>
      </c>
      <c r="V3407">
        <v>0</v>
      </c>
      <c r="W3407">
        <v>0</v>
      </c>
      <c r="X3407">
        <v>0</v>
      </c>
      <c r="Y3407">
        <v>0</v>
      </c>
      <c r="Z3407">
        <v>3</v>
      </c>
      <c r="AA3407">
        <v>0</v>
      </c>
      <c r="AC3407">
        <v>28.6</v>
      </c>
    </row>
    <row r="3408" spans="1:29">
      <c r="A3408">
        <v>3401</v>
      </c>
      <c r="B3408">
        <v>1805</v>
      </c>
      <c r="C3408" t="s">
        <v>7026</v>
      </c>
      <c r="D3408" t="s">
        <v>2850</v>
      </c>
      <c r="E3408" t="s">
        <v>337</v>
      </c>
      <c r="F3408" t="s">
        <v>7027</v>
      </c>
      <c r="G3408" t="str">
        <f>"00859901"</f>
        <v>00859901</v>
      </c>
      <c r="H3408">
        <v>21.6</v>
      </c>
      <c r="I3408">
        <v>0</v>
      </c>
      <c r="M3408">
        <v>0</v>
      </c>
      <c r="N3408">
        <v>4</v>
      </c>
      <c r="O3408">
        <v>0</v>
      </c>
      <c r="P3408">
        <v>25.6</v>
      </c>
      <c r="Q3408">
        <v>0</v>
      </c>
      <c r="R3408">
        <v>0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0</v>
      </c>
      <c r="Y3408">
        <v>0</v>
      </c>
      <c r="Z3408">
        <v>3</v>
      </c>
      <c r="AA3408">
        <v>0</v>
      </c>
      <c r="AC3408">
        <v>28.6</v>
      </c>
    </row>
    <row r="3409" spans="1:29">
      <c r="A3409">
        <v>3402</v>
      </c>
      <c r="B3409">
        <v>174</v>
      </c>
      <c r="C3409" t="s">
        <v>7032</v>
      </c>
      <c r="D3409" t="s">
        <v>27</v>
      </c>
      <c r="E3409" t="s">
        <v>18</v>
      </c>
      <c r="F3409" t="s">
        <v>7033</v>
      </c>
      <c r="G3409" t="str">
        <f>"00857794"</f>
        <v>00857794</v>
      </c>
      <c r="H3409">
        <v>21.6</v>
      </c>
      <c r="I3409">
        <v>0</v>
      </c>
      <c r="M3409">
        <v>0</v>
      </c>
      <c r="N3409">
        <v>4</v>
      </c>
      <c r="O3409">
        <v>0</v>
      </c>
      <c r="P3409">
        <v>25.6</v>
      </c>
      <c r="Q3409">
        <v>0</v>
      </c>
      <c r="R3409">
        <v>0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0</v>
      </c>
      <c r="Y3409">
        <v>0</v>
      </c>
      <c r="Z3409">
        <v>3</v>
      </c>
      <c r="AA3409">
        <v>0</v>
      </c>
      <c r="AC3409">
        <v>28.6</v>
      </c>
    </row>
    <row r="3410" spans="1:29">
      <c r="A3410">
        <v>3403</v>
      </c>
      <c r="B3410">
        <v>448</v>
      </c>
      <c r="C3410" t="s">
        <v>2109</v>
      </c>
      <c r="D3410" t="s">
        <v>332</v>
      </c>
      <c r="E3410" t="s">
        <v>36</v>
      </c>
      <c r="F3410" t="s">
        <v>7035</v>
      </c>
      <c r="G3410" t="str">
        <f>"00223887"</f>
        <v>00223887</v>
      </c>
      <c r="H3410">
        <v>28.6</v>
      </c>
      <c r="I3410">
        <v>0</v>
      </c>
      <c r="M3410">
        <v>0</v>
      </c>
      <c r="N3410">
        <v>0</v>
      </c>
      <c r="O3410">
        <v>0</v>
      </c>
      <c r="P3410">
        <v>28.6</v>
      </c>
      <c r="Q3410">
        <v>0</v>
      </c>
      <c r="R3410">
        <v>0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0</v>
      </c>
      <c r="Y3410">
        <v>0</v>
      </c>
      <c r="Z3410">
        <v>0</v>
      </c>
      <c r="AA3410">
        <v>0</v>
      </c>
      <c r="AC3410">
        <v>28.6</v>
      </c>
    </row>
    <row r="3411" spans="1:29">
      <c r="A3411">
        <v>3404</v>
      </c>
      <c r="B3411">
        <v>1121</v>
      </c>
      <c r="C3411" t="s">
        <v>7036</v>
      </c>
      <c r="D3411" t="s">
        <v>52</v>
      </c>
      <c r="E3411" t="s">
        <v>2339</v>
      </c>
      <c r="F3411" t="s">
        <v>7037</v>
      </c>
      <c r="G3411" t="str">
        <f>"00144009"</f>
        <v>00144009</v>
      </c>
      <c r="H3411">
        <v>20.6</v>
      </c>
      <c r="I3411">
        <v>0</v>
      </c>
      <c r="L3411">
        <v>4</v>
      </c>
      <c r="M3411">
        <v>4</v>
      </c>
      <c r="N3411">
        <v>4</v>
      </c>
      <c r="O3411">
        <v>0</v>
      </c>
      <c r="P3411">
        <v>28.6</v>
      </c>
      <c r="Q3411">
        <v>0</v>
      </c>
      <c r="R3411">
        <v>0</v>
      </c>
      <c r="S3411">
        <v>0</v>
      </c>
      <c r="T3411">
        <v>0</v>
      </c>
      <c r="U3411">
        <v>0</v>
      </c>
      <c r="V3411">
        <v>0</v>
      </c>
      <c r="W3411">
        <v>0</v>
      </c>
      <c r="X3411">
        <v>0</v>
      </c>
      <c r="Y3411">
        <v>0</v>
      </c>
      <c r="Z3411">
        <v>0</v>
      </c>
      <c r="AA3411">
        <v>0</v>
      </c>
      <c r="AC3411">
        <v>28.6</v>
      </c>
    </row>
    <row r="3412" spans="1:29">
      <c r="A3412">
        <v>3405</v>
      </c>
      <c r="B3412">
        <v>199</v>
      </c>
      <c r="C3412" t="s">
        <v>1792</v>
      </c>
      <c r="D3412" t="s">
        <v>27</v>
      </c>
      <c r="E3412" t="s">
        <v>18</v>
      </c>
      <c r="F3412" t="s">
        <v>7038</v>
      </c>
      <c r="G3412" t="str">
        <f>"00267264"</f>
        <v>00267264</v>
      </c>
      <c r="H3412">
        <v>22.56</v>
      </c>
      <c r="I3412">
        <v>0</v>
      </c>
      <c r="M3412">
        <v>0</v>
      </c>
      <c r="N3412">
        <v>0</v>
      </c>
      <c r="O3412">
        <v>0</v>
      </c>
      <c r="P3412">
        <v>22.56</v>
      </c>
      <c r="Q3412">
        <v>0</v>
      </c>
      <c r="R3412">
        <v>0</v>
      </c>
      <c r="S3412">
        <v>0</v>
      </c>
      <c r="T3412">
        <v>0</v>
      </c>
      <c r="U3412">
        <v>0</v>
      </c>
      <c r="V3412">
        <v>0</v>
      </c>
      <c r="W3412">
        <v>0</v>
      </c>
      <c r="X3412">
        <v>0</v>
      </c>
      <c r="Y3412">
        <v>0</v>
      </c>
      <c r="Z3412">
        <v>6</v>
      </c>
      <c r="AA3412">
        <v>0</v>
      </c>
      <c r="AC3412">
        <v>28.56</v>
      </c>
    </row>
    <row r="3413" spans="1:29">
      <c r="A3413">
        <v>3406</v>
      </c>
      <c r="B3413">
        <v>4175</v>
      </c>
      <c r="C3413" t="s">
        <v>7039</v>
      </c>
      <c r="D3413" t="s">
        <v>52</v>
      </c>
      <c r="E3413" t="s">
        <v>647</v>
      </c>
      <c r="F3413" t="s">
        <v>7040</v>
      </c>
      <c r="G3413" t="str">
        <f>"00600089"</f>
        <v>00600089</v>
      </c>
      <c r="H3413">
        <v>18.559999999999999</v>
      </c>
      <c r="I3413">
        <v>0</v>
      </c>
      <c r="M3413">
        <v>0</v>
      </c>
      <c r="N3413">
        <v>4</v>
      </c>
      <c r="O3413">
        <v>0</v>
      </c>
      <c r="P3413">
        <v>22.56</v>
      </c>
      <c r="Q3413">
        <v>0</v>
      </c>
      <c r="R3413">
        <v>0</v>
      </c>
      <c r="S3413">
        <v>0</v>
      </c>
      <c r="T3413">
        <v>0</v>
      </c>
      <c r="U3413">
        <v>0</v>
      </c>
      <c r="V3413">
        <v>0</v>
      </c>
      <c r="W3413">
        <v>0</v>
      </c>
      <c r="X3413">
        <v>0</v>
      </c>
      <c r="Y3413">
        <v>0</v>
      </c>
      <c r="Z3413">
        <v>6</v>
      </c>
      <c r="AA3413">
        <v>0</v>
      </c>
      <c r="AC3413">
        <v>28.56</v>
      </c>
    </row>
    <row r="3414" spans="1:29">
      <c r="A3414">
        <v>3407</v>
      </c>
      <c r="B3414">
        <v>4868</v>
      </c>
      <c r="C3414" t="s">
        <v>7041</v>
      </c>
      <c r="D3414" t="s">
        <v>465</v>
      </c>
      <c r="E3414" t="s">
        <v>379</v>
      </c>
      <c r="F3414" t="s">
        <v>7042</v>
      </c>
      <c r="G3414" t="str">
        <f>"00854631"</f>
        <v>00854631</v>
      </c>
      <c r="H3414">
        <v>24.52</v>
      </c>
      <c r="I3414">
        <v>0</v>
      </c>
      <c r="M3414">
        <v>0</v>
      </c>
      <c r="N3414">
        <v>4</v>
      </c>
      <c r="O3414">
        <v>0</v>
      </c>
      <c r="P3414">
        <v>28.52</v>
      </c>
      <c r="Q3414">
        <v>0</v>
      </c>
      <c r="R3414">
        <v>0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0</v>
      </c>
      <c r="Y3414">
        <v>0</v>
      </c>
      <c r="Z3414">
        <v>0</v>
      </c>
      <c r="AA3414">
        <v>0</v>
      </c>
      <c r="AC3414">
        <v>28.52</v>
      </c>
    </row>
    <row r="3415" spans="1:29">
      <c r="A3415">
        <v>3408</v>
      </c>
      <c r="B3415">
        <v>4861</v>
      </c>
      <c r="C3415" t="s">
        <v>7043</v>
      </c>
      <c r="D3415" t="s">
        <v>7044</v>
      </c>
      <c r="E3415" t="s">
        <v>79</v>
      </c>
      <c r="F3415" t="s">
        <v>7045</v>
      </c>
      <c r="G3415" t="str">
        <f>"00865033"</f>
        <v>00865033</v>
      </c>
      <c r="H3415">
        <v>14.4</v>
      </c>
      <c r="I3415">
        <v>0</v>
      </c>
      <c r="J3415">
        <v>8</v>
      </c>
      <c r="M3415">
        <v>8</v>
      </c>
      <c r="N3415">
        <v>0</v>
      </c>
      <c r="O3415">
        <v>0</v>
      </c>
      <c r="P3415">
        <v>22.4</v>
      </c>
      <c r="Q3415">
        <v>0</v>
      </c>
      <c r="R3415">
        <v>0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0</v>
      </c>
      <c r="Y3415">
        <v>0</v>
      </c>
      <c r="Z3415">
        <v>6</v>
      </c>
      <c r="AA3415">
        <v>0</v>
      </c>
      <c r="AC3415">
        <v>28.4</v>
      </c>
    </row>
    <row r="3416" spans="1:29">
      <c r="A3416">
        <v>3409</v>
      </c>
      <c r="B3416">
        <v>4032</v>
      </c>
      <c r="C3416" t="s">
        <v>7046</v>
      </c>
      <c r="D3416" t="s">
        <v>185</v>
      </c>
      <c r="E3416" t="s">
        <v>15</v>
      </c>
      <c r="F3416" t="s">
        <v>7047</v>
      </c>
      <c r="G3416" t="str">
        <f>"00823481"</f>
        <v>00823481</v>
      </c>
      <c r="H3416">
        <v>14.4</v>
      </c>
      <c r="I3416">
        <v>0</v>
      </c>
      <c r="L3416">
        <v>4</v>
      </c>
      <c r="M3416">
        <v>4</v>
      </c>
      <c r="N3416">
        <v>4</v>
      </c>
      <c r="O3416">
        <v>0</v>
      </c>
      <c r="P3416">
        <v>22.4</v>
      </c>
      <c r="Q3416">
        <v>0</v>
      </c>
      <c r="R3416">
        <v>0</v>
      </c>
      <c r="S3416">
        <v>0</v>
      </c>
      <c r="T3416">
        <v>0</v>
      </c>
      <c r="U3416">
        <v>0</v>
      </c>
      <c r="V3416">
        <v>0</v>
      </c>
      <c r="W3416">
        <v>0</v>
      </c>
      <c r="X3416">
        <v>0</v>
      </c>
      <c r="Y3416">
        <v>0</v>
      </c>
      <c r="Z3416">
        <v>6</v>
      </c>
      <c r="AA3416">
        <v>0</v>
      </c>
      <c r="AC3416">
        <v>28.4</v>
      </c>
    </row>
    <row r="3417" spans="1:29">
      <c r="A3417">
        <v>3410</v>
      </c>
      <c r="B3417">
        <v>1845</v>
      </c>
      <c r="C3417" t="s">
        <v>7050</v>
      </c>
      <c r="D3417" t="s">
        <v>27</v>
      </c>
      <c r="E3417" t="s">
        <v>227</v>
      </c>
      <c r="F3417" t="s">
        <v>7051</v>
      </c>
      <c r="G3417" t="str">
        <f>"00713237"</f>
        <v>00713237</v>
      </c>
      <c r="H3417">
        <v>14.4</v>
      </c>
      <c r="I3417">
        <v>0</v>
      </c>
      <c r="L3417">
        <v>4</v>
      </c>
      <c r="M3417">
        <v>4</v>
      </c>
      <c r="N3417">
        <v>4</v>
      </c>
      <c r="O3417">
        <v>0</v>
      </c>
      <c r="P3417">
        <v>22.4</v>
      </c>
      <c r="Q3417">
        <v>0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  <c r="Y3417">
        <v>0</v>
      </c>
      <c r="Z3417">
        <v>6</v>
      </c>
      <c r="AA3417">
        <v>0</v>
      </c>
      <c r="AC3417">
        <v>28.4</v>
      </c>
    </row>
    <row r="3418" spans="1:29">
      <c r="A3418">
        <v>3411</v>
      </c>
      <c r="B3418">
        <v>4755</v>
      </c>
      <c r="C3418" t="s">
        <v>7048</v>
      </c>
      <c r="D3418" t="s">
        <v>164</v>
      </c>
      <c r="E3418" t="s">
        <v>134</v>
      </c>
      <c r="F3418" t="s">
        <v>7049</v>
      </c>
      <c r="G3418" t="str">
        <f>"00865465"</f>
        <v>00865465</v>
      </c>
      <c r="H3418">
        <v>14.4</v>
      </c>
      <c r="I3418">
        <v>0</v>
      </c>
      <c r="L3418">
        <v>4</v>
      </c>
      <c r="M3418">
        <v>4</v>
      </c>
      <c r="N3418">
        <v>4</v>
      </c>
      <c r="O3418">
        <v>0</v>
      </c>
      <c r="P3418">
        <v>22.4</v>
      </c>
      <c r="Q3418">
        <v>0</v>
      </c>
      <c r="R3418">
        <v>0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0</v>
      </c>
      <c r="Y3418">
        <v>0</v>
      </c>
      <c r="Z3418">
        <v>6</v>
      </c>
      <c r="AA3418">
        <v>0</v>
      </c>
      <c r="AC3418">
        <v>28.4</v>
      </c>
    </row>
    <row r="3419" spans="1:29">
      <c r="A3419">
        <v>3412</v>
      </c>
      <c r="B3419">
        <v>3939</v>
      </c>
      <c r="C3419" t="s">
        <v>7052</v>
      </c>
      <c r="D3419" t="s">
        <v>276</v>
      </c>
      <c r="E3419" t="s">
        <v>134</v>
      </c>
      <c r="F3419" t="s">
        <v>7053</v>
      </c>
      <c r="G3419" t="str">
        <f>"00108038"</f>
        <v>00108038</v>
      </c>
      <c r="H3419">
        <v>14.4</v>
      </c>
      <c r="I3419">
        <v>0</v>
      </c>
      <c r="L3419">
        <v>4</v>
      </c>
      <c r="M3419">
        <v>4</v>
      </c>
      <c r="N3419">
        <v>4</v>
      </c>
      <c r="O3419">
        <v>0</v>
      </c>
      <c r="P3419">
        <v>22.4</v>
      </c>
      <c r="Q3419">
        <v>0</v>
      </c>
      <c r="R3419">
        <v>0</v>
      </c>
      <c r="S3419">
        <v>0</v>
      </c>
      <c r="T3419">
        <v>0</v>
      </c>
      <c r="U3419">
        <v>0</v>
      </c>
      <c r="V3419">
        <v>0</v>
      </c>
      <c r="W3419">
        <v>0</v>
      </c>
      <c r="X3419">
        <v>0</v>
      </c>
      <c r="Y3419">
        <v>0</v>
      </c>
      <c r="Z3419">
        <v>6</v>
      </c>
      <c r="AA3419">
        <v>0</v>
      </c>
      <c r="AC3419">
        <v>28.4</v>
      </c>
    </row>
    <row r="3420" spans="1:29">
      <c r="A3420">
        <v>3413</v>
      </c>
      <c r="B3420">
        <v>2869</v>
      </c>
      <c r="C3420" t="s">
        <v>2341</v>
      </c>
      <c r="D3420" t="s">
        <v>7054</v>
      </c>
      <c r="E3420" t="s">
        <v>237</v>
      </c>
      <c r="F3420" t="s">
        <v>7055</v>
      </c>
      <c r="G3420" t="str">
        <f>"00182395"</f>
        <v>00182395</v>
      </c>
      <c r="H3420">
        <v>14.4</v>
      </c>
      <c r="I3420">
        <v>0</v>
      </c>
      <c r="M3420">
        <v>0</v>
      </c>
      <c r="N3420">
        <v>4</v>
      </c>
      <c r="O3420">
        <v>0</v>
      </c>
      <c r="P3420">
        <v>18.399999999999999</v>
      </c>
      <c r="Q3420">
        <v>7</v>
      </c>
      <c r="R3420">
        <v>7</v>
      </c>
      <c r="S3420">
        <v>0</v>
      </c>
      <c r="T3420">
        <v>0</v>
      </c>
      <c r="U3420">
        <v>0</v>
      </c>
      <c r="V3420">
        <v>0</v>
      </c>
      <c r="W3420">
        <v>0</v>
      </c>
      <c r="X3420">
        <v>0</v>
      </c>
      <c r="Y3420">
        <v>7</v>
      </c>
      <c r="Z3420">
        <v>3</v>
      </c>
      <c r="AA3420">
        <v>0</v>
      </c>
      <c r="AC3420">
        <v>28.4</v>
      </c>
    </row>
    <row r="3421" spans="1:29">
      <c r="A3421">
        <v>3414</v>
      </c>
      <c r="B3421">
        <v>329</v>
      </c>
      <c r="C3421" t="s">
        <v>7058</v>
      </c>
      <c r="D3421" t="s">
        <v>2387</v>
      </c>
      <c r="E3421" t="s">
        <v>7059</v>
      </c>
      <c r="F3421" t="s">
        <v>7060</v>
      </c>
      <c r="G3421" t="str">
        <f>"00189694"</f>
        <v>00189694</v>
      </c>
      <c r="H3421">
        <v>24.4</v>
      </c>
      <c r="I3421">
        <v>0</v>
      </c>
      <c r="M3421">
        <v>0</v>
      </c>
      <c r="N3421">
        <v>4</v>
      </c>
      <c r="O3421">
        <v>0</v>
      </c>
      <c r="P3421">
        <v>28.4</v>
      </c>
      <c r="Q3421">
        <v>0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  <c r="Y3421">
        <v>0</v>
      </c>
      <c r="Z3421">
        <v>0</v>
      </c>
      <c r="AA3421">
        <v>0</v>
      </c>
      <c r="AC3421">
        <v>28.4</v>
      </c>
    </row>
    <row r="3422" spans="1:29">
      <c r="A3422">
        <v>3415</v>
      </c>
      <c r="B3422">
        <v>2169</v>
      </c>
      <c r="C3422" t="s">
        <v>7056</v>
      </c>
      <c r="D3422" t="s">
        <v>31</v>
      </c>
      <c r="E3422" t="s">
        <v>115</v>
      </c>
      <c r="F3422" t="s">
        <v>7057</v>
      </c>
      <c r="G3422" t="str">
        <f>"00497530"</f>
        <v>00497530</v>
      </c>
      <c r="H3422">
        <v>24.4</v>
      </c>
      <c r="I3422">
        <v>0</v>
      </c>
      <c r="M3422">
        <v>0</v>
      </c>
      <c r="N3422">
        <v>4</v>
      </c>
      <c r="O3422">
        <v>0</v>
      </c>
      <c r="P3422">
        <v>28.4</v>
      </c>
      <c r="Q3422">
        <v>0</v>
      </c>
      <c r="R3422">
        <v>0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0</v>
      </c>
      <c r="Y3422">
        <v>0</v>
      </c>
      <c r="Z3422">
        <v>0</v>
      </c>
      <c r="AA3422">
        <v>0</v>
      </c>
      <c r="AC3422">
        <v>28.4</v>
      </c>
    </row>
    <row r="3423" spans="1:29">
      <c r="A3423">
        <v>3416</v>
      </c>
      <c r="B3423">
        <v>732</v>
      </c>
      <c r="C3423" t="s">
        <v>7064</v>
      </c>
      <c r="D3423" t="s">
        <v>5284</v>
      </c>
      <c r="E3423" t="s">
        <v>36</v>
      </c>
      <c r="F3423" t="s">
        <v>7065</v>
      </c>
      <c r="G3423" t="str">
        <f>"00251659"</f>
        <v>00251659</v>
      </c>
      <c r="H3423">
        <v>14.4</v>
      </c>
      <c r="I3423">
        <v>10</v>
      </c>
      <c r="M3423">
        <v>0</v>
      </c>
      <c r="N3423">
        <v>4</v>
      </c>
      <c r="O3423">
        <v>0</v>
      </c>
      <c r="P3423">
        <v>28.4</v>
      </c>
      <c r="Q3423">
        <v>0</v>
      </c>
      <c r="R3423">
        <v>0</v>
      </c>
      <c r="S3423">
        <v>0</v>
      </c>
      <c r="T3423">
        <v>0</v>
      </c>
      <c r="U3423">
        <v>0</v>
      </c>
      <c r="V3423">
        <v>0</v>
      </c>
      <c r="W3423">
        <v>0</v>
      </c>
      <c r="X3423">
        <v>0</v>
      </c>
      <c r="Y3423">
        <v>0</v>
      </c>
      <c r="Z3423">
        <v>0</v>
      </c>
      <c r="AA3423">
        <v>0</v>
      </c>
      <c r="AC3423">
        <v>28.4</v>
      </c>
    </row>
    <row r="3424" spans="1:29">
      <c r="A3424">
        <v>3417</v>
      </c>
      <c r="B3424">
        <v>2073</v>
      </c>
      <c r="C3424" t="s">
        <v>7067</v>
      </c>
      <c r="D3424" t="s">
        <v>175</v>
      </c>
      <c r="E3424" t="s">
        <v>134</v>
      </c>
      <c r="F3424" t="s">
        <v>7068</v>
      </c>
      <c r="G3424" t="str">
        <f>"00583126"</f>
        <v>00583126</v>
      </c>
      <c r="H3424">
        <v>14.4</v>
      </c>
      <c r="I3424">
        <v>0</v>
      </c>
      <c r="J3424">
        <v>8</v>
      </c>
      <c r="M3424">
        <v>8</v>
      </c>
      <c r="N3424">
        <v>4</v>
      </c>
      <c r="O3424">
        <v>2</v>
      </c>
      <c r="P3424">
        <v>28.4</v>
      </c>
      <c r="Q3424">
        <v>0</v>
      </c>
      <c r="R3424">
        <v>0</v>
      </c>
      <c r="S3424">
        <v>0</v>
      </c>
      <c r="T3424">
        <v>0</v>
      </c>
      <c r="U3424">
        <v>0</v>
      </c>
      <c r="V3424">
        <v>0</v>
      </c>
      <c r="W3424">
        <v>0</v>
      </c>
      <c r="X3424">
        <v>0</v>
      </c>
      <c r="Y3424">
        <v>0</v>
      </c>
      <c r="Z3424">
        <v>0</v>
      </c>
      <c r="AA3424">
        <v>0</v>
      </c>
      <c r="AC3424">
        <v>28.4</v>
      </c>
    </row>
    <row r="3425" spans="1:29">
      <c r="A3425">
        <v>3418</v>
      </c>
      <c r="B3425">
        <v>4554</v>
      </c>
      <c r="C3425" t="s">
        <v>218</v>
      </c>
      <c r="D3425" t="s">
        <v>27</v>
      </c>
      <c r="E3425" t="s">
        <v>36</v>
      </c>
      <c r="F3425" t="s">
        <v>7066</v>
      </c>
      <c r="G3425" t="str">
        <f>"00533596"</f>
        <v>00533596</v>
      </c>
      <c r="H3425">
        <v>14.4</v>
      </c>
      <c r="I3425">
        <v>10</v>
      </c>
      <c r="M3425">
        <v>0</v>
      </c>
      <c r="N3425">
        <v>4</v>
      </c>
      <c r="O3425">
        <v>0</v>
      </c>
      <c r="P3425">
        <v>28.4</v>
      </c>
      <c r="Q3425">
        <v>0</v>
      </c>
      <c r="R3425">
        <v>0</v>
      </c>
      <c r="S3425">
        <v>0</v>
      </c>
      <c r="T3425">
        <v>0</v>
      </c>
      <c r="U3425">
        <v>0</v>
      </c>
      <c r="V3425">
        <v>0</v>
      </c>
      <c r="W3425">
        <v>0</v>
      </c>
      <c r="X3425">
        <v>0</v>
      </c>
      <c r="Y3425">
        <v>0</v>
      </c>
      <c r="Z3425">
        <v>0</v>
      </c>
      <c r="AA3425">
        <v>0</v>
      </c>
      <c r="AC3425">
        <v>28.4</v>
      </c>
    </row>
    <row r="3426" spans="1:29">
      <c r="A3426">
        <v>3419</v>
      </c>
      <c r="B3426">
        <v>2793</v>
      </c>
      <c r="C3426" t="s">
        <v>7061</v>
      </c>
      <c r="D3426" t="s">
        <v>7062</v>
      </c>
      <c r="E3426" t="s">
        <v>50</v>
      </c>
      <c r="F3426" t="s">
        <v>7063</v>
      </c>
      <c r="G3426" t="str">
        <f>"00207109"</f>
        <v>00207109</v>
      </c>
      <c r="H3426">
        <v>14.4</v>
      </c>
      <c r="I3426">
        <v>10</v>
      </c>
      <c r="M3426">
        <v>0</v>
      </c>
      <c r="N3426">
        <v>4</v>
      </c>
      <c r="O3426">
        <v>0</v>
      </c>
      <c r="P3426">
        <v>28.4</v>
      </c>
      <c r="Q3426">
        <v>0</v>
      </c>
      <c r="R3426">
        <v>0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0</v>
      </c>
      <c r="Y3426">
        <v>0</v>
      </c>
      <c r="Z3426">
        <v>0</v>
      </c>
      <c r="AA3426">
        <v>0</v>
      </c>
      <c r="AC3426">
        <v>28.4</v>
      </c>
    </row>
    <row r="3427" spans="1:29">
      <c r="A3427">
        <v>3420</v>
      </c>
      <c r="B3427">
        <v>3527</v>
      </c>
      <c r="C3427" t="s">
        <v>7069</v>
      </c>
      <c r="D3427" t="s">
        <v>36</v>
      </c>
      <c r="E3427" t="s">
        <v>15</v>
      </c>
      <c r="F3427" t="s">
        <v>7070</v>
      </c>
      <c r="G3427" t="str">
        <f>"00151992"</f>
        <v>00151992</v>
      </c>
      <c r="H3427">
        <v>14.4</v>
      </c>
      <c r="I3427">
        <v>0</v>
      </c>
      <c r="M3427">
        <v>0</v>
      </c>
      <c r="N3427">
        <v>0</v>
      </c>
      <c r="O3427">
        <v>0</v>
      </c>
      <c r="P3427">
        <v>14.4</v>
      </c>
      <c r="Q3427">
        <v>14</v>
      </c>
      <c r="R3427">
        <v>14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0</v>
      </c>
      <c r="Y3427">
        <v>14</v>
      </c>
      <c r="Z3427">
        <v>0</v>
      </c>
      <c r="AA3427">
        <v>0</v>
      </c>
      <c r="AC3427">
        <v>28.4</v>
      </c>
    </row>
    <row r="3428" spans="1:29">
      <c r="A3428">
        <v>3421</v>
      </c>
      <c r="B3428">
        <v>55</v>
      </c>
      <c r="C3428" t="s">
        <v>248</v>
      </c>
      <c r="D3428" t="s">
        <v>179</v>
      </c>
      <c r="E3428" t="s">
        <v>15</v>
      </c>
      <c r="F3428" t="s">
        <v>7071</v>
      </c>
      <c r="G3428" t="str">
        <f>"00853351"</f>
        <v>00853351</v>
      </c>
      <c r="H3428">
        <v>28.36</v>
      </c>
      <c r="I3428">
        <v>0</v>
      </c>
      <c r="M3428">
        <v>0</v>
      </c>
      <c r="N3428">
        <v>0</v>
      </c>
      <c r="O3428">
        <v>0</v>
      </c>
      <c r="P3428">
        <v>28.36</v>
      </c>
      <c r="Q3428">
        <v>0</v>
      </c>
      <c r="R3428">
        <v>0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0</v>
      </c>
      <c r="Y3428">
        <v>0</v>
      </c>
      <c r="Z3428">
        <v>0</v>
      </c>
      <c r="AA3428">
        <v>0</v>
      </c>
      <c r="AC3428">
        <v>28.36</v>
      </c>
    </row>
    <row r="3429" spans="1:29">
      <c r="A3429">
        <v>3422</v>
      </c>
      <c r="B3429">
        <v>1899</v>
      </c>
      <c r="C3429" t="s">
        <v>2422</v>
      </c>
      <c r="D3429" t="s">
        <v>46</v>
      </c>
      <c r="E3429" t="s">
        <v>337</v>
      </c>
      <c r="F3429" t="s">
        <v>7072</v>
      </c>
      <c r="G3429" t="str">
        <f>"00797464"</f>
        <v>00797464</v>
      </c>
      <c r="H3429">
        <v>24.36</v>
      </c>
      <c r="I3429">
        <v>0</v>
      </c>
      <c r="M3429">
        <v>0</v>
      </c>
      <c r="N3429">
        <v>4</v>
      </c>
      <c r="O3429">
        <v>0</v>
      </c>
      <c r="P3429">
        <v>28.36</v>
      </c>
      <c r="Q3429">
        <v>0</v>
      </c>
      <c r="R3429">
        <v>0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0</v>
      </c>
      <c r="Y3429">
        <v>0</v>
      </c>
      <c r="Z3429">
        <v>0</v>
      </c>
      <c r="AA3429">
        <v>0</v>
      </c>
      <c r="AC3429">
        <v>28.36</v>
      </c>
    </row>
    <row r="3430" spans="1:29">
      <c r="A3430">
        <v>3423</v>
      </c>
      <c r="B3430">
        <v>4149</v>
      </c>
      <c r="C3430" t="s">
        <v>7073</v>
      </c>
      <c r="D3430" t="s">
        <v>784</v>
      </c>
      <c r="E3430" t="s">
        <v>15</v>
      </c>
      <c r="F3430" t="s">
        <v>7074</v>
      </c>
      <c r="G3430" t="str">
        <f>"00864759"</f>
        <v>00864759</v>
      </c>
      <c r="H3430">
        <v>25.32</v>
      </c>
      <c r="I3430">
        <v>0</v>
      </c>
      <c r="M3430">
        <v>0</v>
      </c>
      <c r="N3430">
        <v>0</v>
      </c>
      <c r="O3430">
        <v>0</v>
      </c>
      <c r="P3430">
        <v>25.32</v>
      </c>
      <c r="Q3430">
        <v>0</v>
      </c>
      <c r="R3430">
        <v>0</v>
      </c>
      <c r="S3430">
        <v>0</v>
      </c>
      <c r="T3430">
        <v>0</v>
      </c>
      <c r="U3430">
        <v>0</v>
      </c>
      <c r="V3430">
        <v>0</v>
      </c>
      <c r="W3430">
        <v>0</v>
      </c>
      <c r="X3430">
        <v>0</v>
      </c>
      <c r="Y3430">
        <v>0</v>
      </c>
      <c r="Z3430">
        <v>3</v>
      </c>
      <c r="AA3430">
        <v>0</v>
      </c>
      <c r="AC3430">
        <v>28.32</v>
      </c>
    </row>
    <row r="3431" spans="1:29">
      <c r="A3431">
        <v>3424</v>
      </c>
      <c r="B3431">
        <v>1153</v>
      </c>
      <c r="C3431" t="s">
        <v>7075</v>
      </c>
      <c r="D3431" t="s">
        <v>510</v>
      </c>
      <c r="E3431" t="s">
        <v>1527</v>
      </c>
      <c r="F3431" t="s">
        <v>7076</v>
      </c>
      <c r="G3431" t="str">
        <f>"201510002290"</f>
        <v>201510002290</v>
      </c>
      <c r="H3431">
        <v>21.32</v>
      </c>
      <c r="I3431">
        <v>0</v>
      </c>
      <c r="M3431">
        <v>0</v>
      </c>
      <c r="N3431">
        <v>4</v>
      </c>
      <c r="O3431">
        <v>0</v>
      </c>
      <c r="P3431">
        <v>25.32</v>
      </c>
      <c r="Q3431">
        <v>0</v>
      </c>
      <c r="R3431">
        <v>0</v>
      </c>
      <c r="S3431">
        <v>0</v>
      </c>
      <c r="T3431">
        <v>0</v>
      </c>
      <c r="U3431">
        <v>0</v>
      </c>
      <c r="V3431">
        <v>0</v>
      </c>
      <c r="W3431">
        <v>0</v>
      </c>
      <c r="X3431">
        <v>0</v>
      </c>
      <c r="Y3431">
        <v>0</v>
      </c>
      <c r="Z3431">
        <v>3</v>
      </c>
      <c r="AA3431">
        <v>0</v>
      </c>
      <c r="AC3431">
        <v>28.32</v>
      </c>
    </row>
    <row r="3432" spans="1:29">
      <c r="A3432">
        <v>3425</v>
      </c>
      <c r="B3432">
        <v>587</v>
      </c>
      <c r="C3432" t="s">
        <v>3383</v>
      </c>
      <c r="D3432" t="s">
        <v>24</v>
      </c>
      <c r="E3432" t="s">
        <v>777</v>
      </c>
      <c r="F3432" t="s">
        <v>7077</v>
      </c>
      <c r="G3432" t="str">
        <f>"00711740"</f>
        <v>00711740</v>
      </c>
      <c r="H3432">
        <v>16.28</v>
      </c>
      <c r="I3432">
        <v>0</v>
      </c>
      <c r="M3432">
        <v>0</v>
      </c>
      <c r="N3432">
        <v>0</v>
      </c>
      <c r="O3432">
        <v>0</v>
      </c>
      <c r="P3432">
        <v>16.28</v>
      </c>
      <c r="Q3432">
        <v>0</v>
      </c>
      <c r="R3432">
        <v>0</v>
      </c>
      <c r="S3432">
        <v>0</v>
      </c>
      <c r="T3432">
        <v>0</v>
      </c>
      <c r="U3432">
        <v>0</v>
      </c>
      <c r="V3432">
        <v>0</v>
      </c>
      <c r="W3432">
        <v>0</v>
      </c>
      <c r="X3432">
        <v>0</v>
      </c>
      <c r="Y3432">
        <v>0</v>
      </c>
      <c r="Z3432">
        <v>12</v>
      </c>
      <c r="AA3432">
        <v>0</v>
      </c>
      <c r="AC3432">
        <v>28.28</v>
      </c>
    </row>
    <row r="3433" spans="1:29">
      <c r="A3433">
        <v>3426</v>
      </c>
      <c r="B3433">
        <v>4950</v>
      </c>
      <c r="C3433" t="s">
        <v>7078</v>
      </c>
      <c r="D3433" t="s">
        <v>137</v>
      </c>
      <c r="E3433" t="s">
        <v>15</v>
      </c>
      <c r="F3433" t="s">
        <v>7079</v>
      </c>
      <c r="G3433" t="str">
        <f>"00865752"</f>
        <v>00865752</v>
      </c>
      <c r="H3433">
        <v>22.28</v>
      </c>
      <c r="I3433">
        <v>0</v>
      </c>
      <c r="M3433">
        <v>0</v>
      </c>
      <c r="N3433">
        <v>0</v>
      </c>
      <c r="O3433">
        <v>0</v>
      </c>
      <c r="P3433">
        <v>22.28</v>
      </c>
      <c r="Q3433">
        <v>0</v>
      </c>
      <c r="R3433">
        <v>0</v>
      </c>
      <c r="S3433">
        <v>0</v>
      </c>
      <c r="T3433">
        <v>0</v>
      </c>
      <c r="U3433">
        <v>0</v>
      </c>
      <c r="V3433">
        <v>0</v>
      </c>
      <c r="W3433">
        <v>0</v>
      </c>
      <c r="X3433">
        <v>0</v>
      </c>
      <c r="Y3433">
        <v>0</v>
      </c>
      <c r="Z3433">
        <v>6</v>
      </c>
      <c r="AA3433">
        <v>0</v>
      </c>
      <c r="AC3433">
        <v>28.28</v>
      </c>
    </row>
    <row r="3434" spans="1:29">
      <c r="A3434">
        <v>3427</v>
      </c>
      <c r="B3434">
        <v>4086</v>
      </c>
      <c r="C3434" t="s">
        <v>7080</v>
      </c>
      <c r="D3434" t="s">
        <v>24</v>
      </c>
      <c r="E3434" t="s">
        <v>79</v>
      </c>
      <c r="F3434" t="s">
        <v>7081</v>
      </c>
      <c r="G3434" t="str">
        <f>"00863131"</f>
        <v>00863131</v>
      </c>
      <c r="H3434">
        <v>18.28</v>
      </c>
      <c r="I3434">
        <v>0</v>
      </c>
      <c r="M3434">
        <v>0</v>
      </c>
      <c r="N3434">
        <v>4</v>
      </c>
      <c r="O3434">
        <v>0</v>
      </c>
      <c r="P3434">
        <v>22.28</v>
      </c>
      <c r="Q3434">
        <v>0</v>
      </c>
      <c r="R3434">
        <v>0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0</v>
      </c>
      <c r="Y3434">
        <v>0</v>
      </c>
      <c r="Z3434">
        <v>6</v>
      </c>
      <c r="AA3434">
        <v>0</v>
      </c>
      <c r="AC3434">
        <v>28.28</v>
      </c>
    </row>
    <row r="3435" spans="1:29">
      <c r="A3435">
        <v>3428</v>
      </c>
      <c r="B3435">
        <v>2486</v>
      </c>
      <c r="C3435" t="s">
        <v>7082</v>
      </c>
      <c r="D3435" t="s">
        <v>248</v>
      </c>
      <c r="E3435" t="s">
        <v>1986</v>
      </c>
      <c r="F3435" t="s">
        <v>7083</v>
      </c>
      <c r="G3435" t="str">
        <f>"00644267"</f>
        <v>00644267</v>
      </c>
      <c r="H3435">
        <v>28.28</v>
      </c>
      <c r="I3435">
        <v>0</v>
      </c>
      <c r="M3435">
        <v>0</v>
      </c>
      <c r="N3435">
        <v>0</v>
      </c>
      <c r="O3435">
        <v>0</v>
      </c>
      <c r="P3435">
        <v>28.28</v>
      </c>
      <c r="Q3435">
        <v>0</v>
      </c>
      <c r="R3435">
        <v>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0</v>
      </c>
      <c r="Y3435">
        <v>0</v>
      </c>
      <c r="Z3435">
        <v>0</v>
      </c>
      <c r="AA3435">
        <v>0</v>
      </c>
      <c r="AC3435">
        <v>28.28</v>
      </c>
    </row>
    <row r="3436" spans="1:29">
      <c r="A3436">
        <v>3429</v>
      </c>
      <c r="B3436">
        <v>787</v>
      </c>
      <c r="C3436" t="s">
        <v>7084</v>
      </c>
      <c r="D3436" t="s">
        <v>130</v>
      </c>
      <c r="E3436" t="s">
        <v>15</v>
      </c>
      <c r="F3436" t="s">
        <v>7085</v>
      </c>
      <c r="G3436" t="str">
        <f>"201412005403"</f>
        <v>201412005403</v>
      </c>
      <c r="H3436">
        <v>20.28</v>
      </c>
      <c r="I3436">
        <v>0</v>
      </c>
      <c r="L3436">
        <v>4</v>
      </c>
      <c r="M3436">
        <v>4</v>
      </c>
      <c r="N3436">
        <v>4</v>
      </c>
      <c r="O3436">
        <v>0</v>
      </c>
      <c r="P3436">
        <v>28.28</v>
      </c>
      <c r="Q3436">
        <v>0</v>
      </c>
      <c r="R3436">
        <v>0</v>
      </c>
      <c r="S3436">
        <v>0</v>
      </c>
      <c r="T3436">
        <v>0</v>
      </c>
      <c r="U3436">
        <v>0</v>
      </c>
      <c r="V3436">
        <v>0</v>
      </c>
      <c r="W3436">
        <v>0</v>
      </c>
      <c r="X3436">
        <v>0</v>
      </c>
      <c r="Y3436">
        <v>0</v>
      </c>
      <c r="Z3436">
        <v>0</v>
      </c>
      <c r="AA3436">
        <v>0</v>
      </c>
      <c r="AC3436">
        <v>28.28</v>
      </c>
    </row>
    <row r="3437" spans="1:29">
      <c r="A3437">
        <v>3430</v>
      </c>
      <c r="B3437">
        <v>3036</v>
      </c>
      <c r="C3437" t="s">
        <v>7086</v>
      </c>
      <c r="D3437" t="s">
        <v>164</v>
      </c>
      <c r="E3437" t="s">
        <v>18</v>
      </c>
      <c r="F3437" t="s">
        <v>7087</v>
      </c>
      <c r="G3437" t="str">
        <f>"00348290"</f>
        <v>00348290</v>
      </c>
      <c r="H3437">
        <v>11.2</v>
      </c>
      <c r="I3437">
        <v>0</v>
      </c>
      <c r="M3437">
        <v>0</v>
      </c>
      <c r="N3437">
        <v>4</v>
      </c>
      <c r="O3437">
        <v>2</v>
      </c>
      <c r="P3437">
        <v>17.2</v>
      </c>
      <c r="Q3437">
        <v>5</v>
      </c>
      <c r="R3437">
        <v>5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0</v>
      </c>
      <c r="Y3437">
        <v>5</v>
      </c>
      <c r="Z3437">
        <v>6</v>
      </c>
      <c r="AA3437">
        <v>0</v>
      </c>
      <c r="AC3437">
        <v>28.2</v>
      </c>
    </row>
    <row r="3438" spans="1:29">
      <c r="A3438">
        <v>3431</v>
      </c>
      <c r="B3438">
        <v>2697</v>
      </c>
      <c r="C3438" t="s">
        <v>7088</v>
      </c>
      <c r="D3438" t="s">
        <v>557</v>
      </c>
      <c r="E3438" t="s">
        <v>1263</v>
      </c>
      <c r="F3438" t="s">
        <v>7089</v>
      </c>
      <c r="G3438" t="str">
        <f>"00528637"</f>
        <v>00528637</v>
      </c>
      <c r="H3438">
        <v>7.2</v>
      </c>
      <c r="I3438">
        <v>10</v>
      </c>
      <c r="L3438">
        <v>4</v>
      </c>
      <c r="M3438">
        <v>4</v>
      </c>
      <c r="N3438">
        <v>4</v>
      </c>
      <c r="O3438">
        <v>0</v>
      </c>
      <c r="P3438">
        <v>25.2</v>
      </c>
      <c r="Q3438">
        <v>0</v>
      </c>
      <c r="R3438">
        <v>0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0</v>
      </c>
      <c r="Y3438">
        <v>0</v>
      </c>
      <c r="Z3438">
        <v>3</v>
      </c>
      <c r="AA3438">
        <v>0</v>
      </c>
      <c r="AC3438">
        <v>28.2</v>
      </c>
    </row>
    <row r="3439" spans="1:29">
      <c r="A3439">
        <v>3432</v>
      </c>
      <c r="B3439">
        <v>613</v>
      </c>
      <c r="C3439" t="s">
        <v>7090</v>
      </c>
      <c r="D3439" t="s">
        <v>2311</v>
      </c>
      <c r="E3439" t="s">
        <v>3139</v>
      </c>
      <c r="F3439" t="s">
        <v>7091</v>
      </c>
      <c r="G3439" t="str">
        <f>"00856129"</f>
        <v>00856129</v>
      </c>
      <c r="H3439">
        <v>7.2</v>
      </c>
      <c r="I3439">
        <v>10</v>
      </c>
      <c r="L3439">
        <v>4</v>
      </c>
      <c r="M3439">
        <v>4</v>
      </c>
      <c r="N3439">
        <v>4</v>
      </c>
      <c r="O3439">
        <v>0</v>
      </c>
      <c r="P3439">
        <v>25.2</v>
      </c>
      <c r="Q3439">
        <v>0</v>
      </c>
      <c r="R3439">
        <v>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0</v>
      </c>
      <c r="Y3439">
        <v>0</v>
      </c>
      <c r="Z3439">
        <v>3</v>
      </c>
      <c r="AA3439">
        <v>0</v>
      </c>
      <c r="AC3439">
        <v>28.2</v>
      </c>
    </row>
    <row r="3440" spans="1:29">
      <c r="A3440">
        <v>3433</v>
      </c>
      <c r="B3440">
        <v>2578</v>
      </c>
      <c r="C3440" t="s">
        <v>7092</v>
      </c>
      <c r="D3440" t="s">
        <v>2155</v>
      </c>
      <c r="E3440" t="s">
        <v>156</v>
      </c>
      <c r="F3440" t="s">
        <v>7093</v>
      </c>
      <c r="G3440" t="str">
        <f>"00708404"</f>
        <v>00708404</v>
      </c>
      <c r="H3440">
        <v>18.2</v>
      </c>
      <c r="I3440">
        <v>10</v>
      </c>
      <c r="M3440">
        <v>0</v>
      </c>
      <c r="N3440">
        <v>0</v>
      </c>
      <c r="O3440">
        <v>0</v>
      </c>
      <c r="P3440">
        <v>28.2</v>
      </c>
      <c r="Q3440">
        <v>0</v>
      </c>
      <c r="R3440">
        <v>0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0</v>
      </c>
      <c r="Y3440">
        <v>0</v>
      </c>
      <c r="Z3440">
        <v>0</v>
      </c>
      <c r="AA3440">
        <v>0</v>
      </c>
      <c r="AC3440">
        <v>28.2</v>
      </c>
    </row>
    <row r="3441" spans="1:29">
      <c r="A3441">
        <v>3434</v>
      </c>
      <c r="B3441">
        <v>1666</v>
      </c>
      <c r="C3441" t="s">
        <v>7094</v>
      </c>
      <c r="D3441" t="s">
        <v>266</v>
      </c>
      <c r="E3441" t="s">
        <v>233</v>
      </c>
      <c r="F3441" t="s">
        <v>7095</v>
      </c>
      <c r="G3441" t="str">
        <f>"00138333"</f>
        <v>00138333</v>
      </c>
      <c r="H3441">
        <v>7.2</v>
      </c>
      <c r="I3441">
        <v>10</v>
      </c>
      <c r="M3441">
        <v>0</v>
      </c>
      <c r="N3441">
        <v>4</v>
      </c>
      <c r="O3441">
        <v>2</v>
      </c>
      <c r="P3441">
        <v>23.2</v>
      </c>
      <c r="Q3441">
        <v>5</v>
      </c>
      <c r="R3441">
        <v>5</v>
      </c>
      <c r="S3441">
        <v>0</v>
      </c>
      <c r="T3441">
        <v>0</v>
      </c>
      <c r="U3441">
        <v>0</v>
      </c>
      <c r="V3441">
        <v>0</v>
      </c>
      <c r="W3441">
        <v>0</v>
      </c>
      <c r="X3441">
        <v>0</v>
      </c>
      <c r="Y3441">
        <v>5</v>
      </c>
      <c r="Z3441">
        <v>0</v>
      </c>
      <c r="AA3441">
        <v>0</v>
      </c>
      <c r="AC3441">
        <v>28.2</v>
      </c>
    </row>
    <row r="3442" spans="1:29">
      <c r="A3442">
        <v>3435</v>
      </c>
      <c r="B3442">
        <v>2369</v>
      </c>
      <c r="C3442" t="s">
        <v>7096</v>
      </c>
      <c r="D3442" t="s">
        <v>185</v>
      </c>
      <c r="E3442" t="s">
        <v>1450</v>
      </c>
      <c r="F3442" t="s">
        <v>7097</v>
      </c>
      <c r="G3442" t="str">
        <f>"00659476"</f>
        <v>00659476</v>
      </c>
      <c r="H3442">
        <v>18.12</v>
      </c>
      <c r="I3442">
        <v>0</v>
      </c>
      <c r="M3442">
        <v>0</v>
      </c>
      <c r="N3442">
        <v>4</v>
      </c>
      <c r="O3442">
        <v>0</v>
      </c>
      <c r="P3442">
        <v>22.12</v>
      </c>
      <c r="Q3442">
        <v>0</v>
      </c>
      <c r="R3442">
        <v>0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0</v>
      </c>
      <c r="Y3442">
        <v>0</v>
      </c>
      <c r="Z3442">
        <v>6</v>
      </c>
      <c r="AA3442">
        <v>0</v>
      </c>
      <c r="AC3442">
        <v>28.12</v>
      </c>
    </row>
    <row r="3443" spans="1:29">
      <c r="A3443">
        <v>3436</v>
      </c>
      <c r="B3443">
        <v>1431</v>
      </c>
      <c r="C3443" t="s">
        <v>7098</v>
      </c>
      <c r="D3443" t="s">
        <v>31</v>
      </c>
      <c r="E3443" t="s">
        <v>134</v>
      </c>
      <c r="F3443" t="s">
        <v>7099</v>
      </c>
      <c r="G3443" t="str">
        <f>"00469919"</f>
        <v>00469919</v>
      </c>
      <c r="H3443">
        <v>14.12</v>
      </c>
      <c r="I3443">
        <v>0</v>
      </c>
      <c r="L3443">
        <v>4</v>
      </c>
      <c r="M3443">
        <v>4</v>
      </c>
      <c r="N3443">
        <v>4</v>
      </c>
      <c r="O3443">
        <v>0</v>
      </c>
      <c r="P3443">
        <v>22.12</v>
      </c>
      <c r="Q3443">
        <v>6</v>
      </c>
      <c r="R3443">
        <v>6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0</v>
      </c>
      <c r="Y3443">
        <v>6</v>
      </c>
      <c r="Z3443">
        <v>0</v>
      </c>
      <c r="AA3443">
        <v>0</v>
      </c>
      <c r="AC3443">
        <v>28.12</v>
      </c>
    </row>
    <row r="3444" spans="1:29">
      <c r="A3444">
        <v>3437</v>
      </c>
      <c r="B3444">
        <v>2940</v>
      </c>
      <c r="C3444" t="s">
        <v>7100</v>
      </c>
      <c r="D3444" t="s">
        <v>63</v>
      </c>
      <c r="E3444" t="s">
        <v>7101</v>
      </c>
      <c r="F3444" t="s">
        <v>7102</v>
      </c>
      <c r="G3444" t="str">
        <f>"00254020"</f>
        <v>00254020</v>
      </c>
      <c r="H3444">
        <v>21.08</v>
      </c>
      <c r="I3444">
        <v>0</v>
      </c>
      <c r="L3444">
        <v>4</v>
      </c>
      <c r="M3444">
        <v>4</v>
      </c>
      <c r="N3444">
        <v>0</v>
      </c>
      <c r="O3444">
        <v>0</v>
      </c>
      <c r="P3444">
        <v>25.08</v>
      </c>
      <c r="Q3444">
        <v>0</v>
      </c>
      <c r="R3444">
        <v>0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0</v>
      </c>
      <c r="Y3444">
        <v>0</v>
      </c>
      <c r="Z3444">
        <v>3</v>
      </c>
      <c r="AA3444">
        <v>0</v>
      </c>
      <c r="AC3444">
        <v>28.08</v>
      </c>
    </row>
    <row r="3445" spans="1:29">
      <c r="A3445">
        <v>3438</v>
      </c>
      <c r="B3445">
        <v>3171</v>
      </c>
      <c r="C3445" t="s">
        <v>7103</v>
      </c>
      <c r="D3445" t="s">
        <v>102</v>
      </c>
      <c r="E3445" t="s">
        <v>322</v>
      </c>
      <c r="F3445" t="s">
        <v>7104</v>
      </c>
      <c r="G3445" t="str">
        <f>"00530449"</f>
        <v>00530449</v>
      </c>
      <c r="H3445">
        <v>18</v>
      </c>
      <c r="I3445">
        <v>0</v>
      </c>
      <c r="M3445">
        <v>0</v>
      </c>
      <c r="N3445">
        <v>4</v>
      </c>
      <c r="O3445">
        <v>0</v>
      </c>
      <c r="P3445">
        <v>22</v>
      </c>
      <c r="Q3445">
        <v>0</v>
      </c>
      <c r="R3445">
        <v>0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0</v>
      </c>
      <c r="Y3445">
        <v>0</v>
      </c>
      <c r="Z3445">
        <v>6</v>
      </c>
      <c r="AA3445">
        <v>0</v>
      </c>
      <c r="AC3445">
        <v>28</v>
      </c>
    </row>
    <row r="3446" spans="1:29">
      <c r="A3446">
        <v>3439</v>
      </c>
      <c r="B3446">
        <v>1927</v>
      </c>
      <c r="C3446" t="s">
        <v>7105</v>
      </c>
      <c r="D3446" t="s">
        <v>7106</v>
      </c>
      <c r="E3446" t="s">
        <v>1527</v>
      </c>
      <c r="F3446" t="s">
        <v>7107</v>
      </c>
      <c r="G3446" t="str">
        <f>"00773430"</f>
        <v>00773430</v>
      </c>
      <c r="H3446">
        <v>28</v>
      </c>
      <c r="I3446">
        <v>0</v>
      </c>
      <c r="M3446">
        <v>0</v>
      </c>
      <c r="N3446">
        <v>0</v>
      </c>
      <c r="O3446">
        <v>0</v>
      </c>
      <c r="P3446">
        <v>28</v>
      </c>
      <c r="Q3446">
        <v>0</v>
      </c>
      <c r="R3446">
        <v>0</v>
      </c>
      <c r="S3446">
        <v>0</v>
      </c>
      <c r="T3446">
        <v>0</v>
      </c>
      <c r="U3446">
        <v>0</v>
      </c>
      <c r="V3446">
        <v>0</v>
      </c>
      <c r="W3446">
        <v>0</v>
      </c>
      <c r="X3446">
        <v>0</v>
      </c>
      <c r="Y3446">
        <v>0</v>
      </c>
      <c r="Z3446">
        <v>0</v>
      </c>
      <c r="AA3446">
        <v>0</v>
      </c>
      <c r="AC3446">
        <v>28</v>
      </c>
    </row>
    <row r="3447" spans="1:29">
      <c r="A3447">
        <v>3440</v>
      </c>
      <c r="B3447">
        <v>3170</v>
      </c>
      <c r="C3447" t="s">
        <v>7108</v>
      </c>
      <c r="D3447" t="s">
        <v>1115</v>
      </c>
      <c r="E3447" t="s">
        <v>7109</v>
      </c>
      <c r="F3447" t="s">
        <v>7110</v>
      </c>
      <c r="G3447" t="str">
        <f>"00531427"</f>
        <v>00531427</v>
      </c>
      <c r="H3447">
        <v>0</v>
      </c>
      <c r="I3447">
        <v>10</v>
      </c>
      <c r="M3447">
        <v>0</v>
      </c>
      <c r="N3447">
        <v>0</v>
      </c>
      <c r="O3447">
        <v>0</v>
      </c>
      <c r="P3447">
        <v>10</v>
      </c>
      <c r="Q3447">
        <v>18</v>
      </c>
      <c r="R3447">
        <v>18</v>
      </c>
      <c r="S3447">
        <v>0</v>
      </c>
      <c r="T3447">
        <v>0</v>
      </c>
      <c r="U3447">
        <v>0</v>
      </c>
      <c r="V3447">
        <v>0</v>
      </c>
      <c r="W3447">
        <v>0</v>
      </c>
      <c r="X3447">
        <v>0</v>
      </c>
      <c r="Y3447">
        <v>18</v>
      </c>
      <c r="Z3447">
        <v>0</v>
      </c>
      <c r="AA3447">
        <v>0</v>
      </c>
      <c r="AC3447">
        <v>28</v>
      </c>
    </row>
    <row r="3448" spans="1:29">
      <c r="A3448">
        <v>3441</v>
      </c>
      <c r="B3448">
        <v>161</v>
      </c>
      <c r="C3448" t="s">
        <v>7111</v>
      </c>
      <c r="D3448" t="s">
        <v>465</v>
      </c>
      <c r="E3448" t="s">
        <v>36</v>
      </c>
      <c r="F3448" t="s">
        <v>7112</v>
      </c>
      <c r="G3448" t="str">
        <f>"00524488"</f>
        <v>00524488</v>
      </c>
      <c r="H3448">
        <v>0</v>
      </c>
      <c r="I3448">
        <v>0</v>
      </c>
      <c r="M3448">
        <v>0</v>
      </c>
      <c r="N3448">
        <v>4</v>
      </c>
      <c r="O3448">
        <v>2</v>
      </c>
      <c r="P3448">
        <v>6</v>
      </c>
      <c r="Q3448">
        <v>0</v>
      </c>
      <c r="R3448">
        <v>0</v>
      </c>
      <c r="S3448">
        <v>11</v>
      </c>
      <c r="T3448">
        <v>22</v>
      </c>
      <c r="U3448">
        <v>0</v>
      </c>
      <c r="V3448">
        <v>0</v>
      </c>
      <c r="W3448">
        <v>0</v>
      </c>
      <c r="X3448">
        <v>0</v>
      </c>
      <c r="Y3448">
        <v>22</v>
      </c>
      <c r="Z3448">
        <v>0</v>
      </c>
      <c r="AA3448">
        <v>0</v>
      </c>
      <c r="AC3448">
        <v>28</v>
      </c>
    </row>
    <row r="3449" spans="1:29">
      <c r="A3449">
        <v>3442</v>
      </c>
      <c r="B3449">
        <v>1495</v>
      </c>
      <c r="C3449" t="s">
        <v>7113</v>
      </c>
      <c r="D3449" t="s">
        <v>7114</v>
      </c>
      <c r="E3449" t="s">
        <v>227</v>
      </c>
      <c r="F3449" t="s">
        <v>7115</v>
      </c>
      <c r="G3449" t="str">
        <f>"00718224"</f>
        <v>00718224</v>
      </c>
      <c r="H3449">
        <v>18.8</v>
      </c>
      <c r="I3449">
        <v>0</v>
      </c>
      <c r="M3449">
        <v>0</v>
      </c>
      <c r="N3449">
        <v>0</v>
      </c>
      <c r="O3449">
        <v>0</v>
      </c>
      <c r="P3449">
        <v>18.8</v>
      </c>
      <c r="Q3449">
        <v>0</v>
      </c>
      <c r="R3449">
        <v>0</v>
      </c>
      <c r="S3449">
        <v>0</v>
      </c>
      <c r="T3449">
        <v>0</v>
      </c>
      <c r="U3449">
        <v>0</v>
      </c>
      <c r="V3449">
        <v>0</v>
      </c>
      <c r="W3449">
        <v>0</v>
      </c>
      <c r="X3449">
        <v>0</v>
      </c>
      <c r="Y3449">
        <v>0</v>
      </c>
      <c r="Z3449">
        <v>9</v>
      </c>
      <c r="AA3449">
        <v>0</v>
      </c>
      <c r="AC3449">
        <v>27.8</v>
      </c>
    </row>
    <row r="3450" spans="1:29">
      <c r="A3450">
        <v>3443</v>
      </c>
      <c r="B3450">
        <v>1710</v>
      </c>
      <c r="C3450" t="s">
        <v>7116</v>
      </c>
      <c r="D3450" t="s">
        <v>86</v>
      </c>
      <c r="E3450" t="s">
        <v>36</v>
      </c>
      <c r="F3450" t="s">
        <v>7117</v>
      </c>
      <c r="G3450" t="str">
        <f>"00774151"</f>
        <v>00774151</v>
      </c>
      <c r="H3450">
        <v>20.8</v>
      </c>
      <c r="I3450">
        <v>0</v>
      </c>
      <c r="M3450">
        <v>0</v>
      </c>
      <c r="N3450">
        <v>4</v>
      </c>
      <c r="O3450">
        <v>0</v>
      </c>
      <c r="P3450">
        <v>24.8</v>
      </c>
      <c r="Q3450">
        <v>0</v>
      </c>
      <c r="R3450">
        <v>0</v>
      </c>
      <c r="S3450">
        <v>0</v>
      </c>
      <c r="T3450">
        <v>0</v>
      </c>
      <c r="U3450">
        <v>0</v>
      </c>
      <c r="V3450">
        <v>0</v>
      </c>
      <c r="W3450">
        <v>0</v>
      </c>
      <c r="X3450">
        <v>0</v>
      </c>
      <c r="Y3450">
        <v>0</v>
      </c>
      <c r="Z3450">
        <v>3</v>
      </c>
      <c r="AA3450">
        <v>0</v>
      </c>
      <c r="AC3450">
        <v>27.8</v>
      </c>
    </row>
    <row r="3451" spans="1:29">
      <c r="A3451">
        <v>3444</v>
      </c>
      <c r="B3451">
        <v>124</v>
      </c>
      <c r="C3451" t="s">
        <v>4840</v>
      </c>
      <c r="D3451" t="s">
        <v>544</v>
      </c>
      <c r="E3451" t="s">
        <v>60</v>
      </c>
      <c r="F3451" t="s">
        <v>7118</v>
      </c>
      <c r="G3451" t="str">
        <f>"00650470"</f>
        <v>00650470</v>
      </c>
      <c r="H3451">
        <v>14.76</v>
      </c>
      <c r="I3451">
        <v>0</v>
      </c>
      <c r="M3451">
        <v>0</v>
      </c>
      <c r="N3451">
        <v>4</v>
      </c>
      <c r="O3451">
        <v>0</v>
      </c>
      <c r="P3451">
        <v>18.760000000000002</v>
      </c>
      <c r="Q3451">
        <v>0</v>
      </c>
      <c r="R3451">
        <v>0</v>
      </c>
      <c r="S3451">
        <v>0</v>
      </c>
      <c r="T3451">
        <v>0</v>
      </c>
      <c r="U3451">
        <v>0</v>
      </c>
      <c r="V3451">
        <v>0</v>
      </c>
      <c r="W3451">
        <v>0</v>
      </c>
      <c r="X3451">
        <v>0</v>
      </c>
      <c r="Y3451">
        <v>0</v>
      </c>
      <c r="Z3451">
        <v>9</v>
      </c>
      <c r="AA3451">
        <v>0</v>
      </c>
      <c r="AC3451">
        <v>27.76</v>
      </c>
    </row>
    <row r="3452" spans="1:29">
      <c r="A3452">
        <v>3445</v>
      </c>
      <c r="B3452">
        <v>635</v>
      </c>
      <c r="C3452" t="s">
        <v>4919</v>
      </c>
      <c r="D3452" t="s">
        <v>27</v>
      </c>
      <c r="E3452" t="s">
        <v>36</v>
      </c>
      <c r="F3452" t="s">
        <v>7119</v>
      </c>
      <c r="G3452" t="str">
        <f>"00848633"</f>
        <v>00848633</v>
      </c>
      <c r="H3452">
        <v>19.72</v>
      </c>
      <c r="I3452">
        <v>0</v>
      </c>
      <c r="M3452">
        <v>0</v>
      </c>
      <c r="N3452">
        <v>0</v>
      </c>
      <c r="O3452">
        <v>2</v>
      </c>
      <c r="P3452">
        <v>21.72</v>
      </c>
      <c r="Q3452">
        <v>0</v>
      </c>
      <c r="R3452">
        <v>0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0</v>
      </c>
      <c r="Y3452">
        <v>0</v>
      </c>
      <c r="Z3452">
        <v>6</v>
      </c>
      <c r="AA3452">
        <v>0</v>
      </c>
      <c r="AC3452">
        <v>27.72</v>
      </c>
    </row>
    <row r="3453" spans="1:29">
      <c r="A3453">
        <v>3446</v>
      </c>
      <c r="B3453">
        <v>4632</v>
      </c>
      <c r="C3453" t="s">
        <v>7120</v>
      </c>
      <c r="D3453" t="s">
        <v>1744</v>
      </c>
      <c r="E3453" t="s">
        <v>7121</v>
      </c>
      <c r="F3453" t="s">
        <v>7122</v>
      </c>
      <c r="G3453" t="str">
        <f>"00557209"</f>
        <v>00557209</v>
      </c>
      <c r="H3453">
        <v>20.72</v>
      </c>
      <c r="I3453">
        <v>0</v>
      </c>
      <c r="M3453">
        <v>0</v>
      </c>
      <c r="N3453">
        <v>4</v>
      </c>
      <c r="O3453">
        <v>0</v>
      </c>
      <c r="P3453">
        <v>24.72</v>
      </c>
      <c r="Q3453">
        <v>0</v>
      </c>
      <c r="R3453">
        <v>0</v>
      </c>
      <c r="S3453">
        <v>0</v>
      </c>
      <c r="T3453">
        <v>0</v>
      </c>
      <c r="U3453">
        <v>0</v>
      </c>
      <c r="V3453">
        <v>0</v>
      </c>
      <c r="W3453">
        <v>0</v>
      </c>
      <c r="X3453">
        <v>0</v>
      </c>
      <c r="Y3453">
        <v>0</v>
      </c>
      <c r="Z3453">
        <v>3</v>
      </c>
      <c r="AA3453">
        <v>0</v>
      </c>
      <c r="AC3453">
        <v>27.72</v>
      </c>
    </row>
    <row r="3454" spans="1:29">
      <c r="A3454">
        <v>3447</v>
      </c>
      <c r="B3454">
        <v>3826</v>
      </c>
      <c r="C3454" t="s">
        <v>7123</v>
      </c>
      <c r="D3454" t="s">
        <v>2378</v>
      </c>
      <c r="E3454" t="s">
        <v>134</v>
      </c>
      <c r="F3454" t="s">
        <v>7124</v>
      </c>
      <c r="G3454" t="str">
        <f>"00795374"</f>
        <v>00795374</v>
      </c>
      <c r="H3454">
        <v>27.64</v>
      </c>
      <c r="I3454">
        <v>0</v>
      </c>
      <c r="M3454">
        <v>0</v>
      </c>
      <c r="N3454">
        <v>0</v>
      </c>
      <c r="O3454">
        <v>0</v>
      </c>
      <c r="P3454">
        <v>27.64</v>
      </c>
      <c r="Q3454">
        <v>0</v>
      </c>
      <c r="R3454">
        <v>0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0</v>
      </c>
      <c r="Y3454">
        <v>0</v>
      </c>
      <c r="Z3454">
        <v>0</v>
      </c>
      <c r="AA3454">
        <v>0</v>
      </c>
      <c r="AC3454">
        <v>27.64</v>
      </c>
    </row>
    <row r="3455" spans="1:29">
      <c r="A3455">
        <v>3448</v>
      </c>
      <c r="B3455">
        <v>261</v>
      </c>
      <c r="C3455" t="s">
        <v>7132</v>
      </c>
      <c r="D3455" t="s">
        <v>336</v>
      </c>
      <c r="E3455" t="s">
        <v>187</v>
      </c>
      <c r="F3455" t="s">
        <v>7133</v>
      </c>
      <c r="G3455" t="str">
        <f>"00556019"</f>
        <v>00556019</v>
      </c>
      <c r="H3455">
        <v>21.6</v>
      </c>
      <c r="I3455">
        <v>0</v>
      </c>
      <c r="M3455">
        <v>0</v>
      </c>
      <c r="N3455">
        <v>0</v>
      </c>
      <c r="O3455">
        <v>0</v>
      </c>
      <c r="P3455">
        <v>21.6</v>
      </c>
      <c r="Q3455">
        <v>0</v>
      </c>
      <c r="R3455">
        <v>0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0</v>
      </c>
      <c r="Y3455">
        <v>0</v>
      </c>
      <c r="Z3455">
        <v>6</v>
      </c>
      <c r="AA3455">
        <v>0</v>
      </c>
      <c r="AC3455">
        <v>27.6</v>
      </c>
    </row>
    <row r="3456" spans="1:29">
      <c r="A3456">
        <v>3449</v>
      </c>
      <c r="B3456">
        <v>1629</v>
      </c>
      <c r="C3456" t="s">
        <v>7126</v>
      </c>
      <c r="D3456" t="s">
        <v>39</v>
      </c>
      <c r="E3456" t="s">
        <v>18</v>
      </c>
      <c r="F3456" t="s">
        <v>7127</v>
      </c>
      <c r="G3456" t="str">
        <f>"00858921"</f>
        <v>00858921</v>
      </c>
      <c r="H3456">
        <v>21.6</v>
      </c>
      <c r="I3456">
        <v>0</v>
      </c>
      <c r="M3456">
        <v>0</v>
      </c>
      <c r="N3456">
        <v>0</v>
      </c>
      <c r="O3456">
        <v>0</v>
      </c>
      <c r="P3456">
        <v>21.6</v>
      </c>
      <c r="Q3456">
        <v>0</v>
      </c>
      <c r="R3456">
        <v>0</v>
      </c>
      <c r="S3456">
        <v>0</v>
      </c>
      <c r="T3456">
        <v>0</v>
      </c>
      <c r="U3456">
        <v>0</v>
      </c>
      <c r="V3456">
        <v>0</v>
      </c>
      <c r="W3456">
        <v>0</v>
      </c>
      <c r="X3456">
        <v>0</v>
      </c>
      <c r="Y3456">
        <v>0</v>
      </c>
      <c r="Z3456">
        <v>6</v>
      </c>
      <c r="AA3456">
        <v>0</v>
      </c>
      <c r="AC3456">
        <v>27.6</v>
      </c>
    </row>
    <row r="3457" spans="1:29">
      <c r="A3457">
        <v>3450</v>
      </c>
      <c r="B3457">
        <v>3273</v>
      </c>
      <c r="C3457" t="s">
        <v>2673</v>
      </c>
      <c r="D3457" t="s">
        <v>145</v>
      </c>
      <c r="E3457" t="s">
        <v>18</v>
      </c>
      <c r="F3457" t="s">
        <v>7125</v>
      </c>
      <c r="G3457" t="str">
        <f>"00855341"</f>
        <v>00855341</v>
      </c>
      <c r="H3457">
        <v>21.6</v>
      </c>
      <c r="I3457">
        <v>0</v>
      </c>
      <c r="M3457">
        <v>0</v>
      </c>
      <c r="N3457">
        <v>0</v>
      </c>
      <c r="O3457">
        <v>0</v>
      </c>
      <c r="P3457">
        <v>21.6</v>
      </c>
      <c r="Q3457">
        <v>0</v>
      </c>
      <c r="R3457">
        <v>0</v>
      </c>
      <c r="S3457">
        <v>0</v>
      </c>
      <c r="T3457">
        <v>0</v>
      </c>
      <c r="U3457">
        <v>0</v>
      </c>
      <c r="V3457">
        <v>0</v>
      </c>
      <c r="W3457">
        <v>0</v>
      </c>
      <c r="X3457">
        <v>0</v>
      </c>
      <c r="Y3457">
        <v>0</v>
      </c>
      <c r="Z3457">
        <v>6</v>
      </c>
      <c r="AA3457">
        <v>0</v>
      </c>
      <c r="AC3457">
        <v>27.6</v>
      </c>
    </row>
    <row r="3458" spans="1:29">
      <c r="A3458">
        <v>3451</v>
      </c>
      <c r="B3458">
        <v>2646</v>
      </c>
      <c r="C3458" t="s">
        <v>7128</v>
      </c>
      <c r="D3458" t="s">
        <v>175</v>
      </c>
      <c r="E3458" t="s">
        <v>79</v>
      </c>
      <c r="F3458" t="s">
        <v>7129</v>
      </c>
      <c r="G3458" t="str">
        <f>"00558204"</f>
        <v>00558204</v>
      </c>
      <c r="H3458">
        <v>21.6</v>
      </c>
      <c r="I3458">
        <v>0</v>
      </c>
      <c r="M3458">
        <v>0</v>
      </c>
      <c r="N3458">
        <v>0</v>
      </c>
      <c r="O3458">
        <v>0</v>
      </c>
      <c r="P3458">
        <v>21.6</v>
      </c>
      <c r="Q3458">
        <v>0</v>
      </c>
      <c r="R3458">
        <v>0</v>
      </c>
      <c r="S3458">
        <v>0</v>
      </c>
      <c r="T3458">
        <v>0</v>
      </c>
      <c r="U3458">
        <v>0</v>
      </c>
      <c r="V3458">
        <v>0</v>
      </c>
      <c r="W3458">
        <v>0</v>
      </c>
      <c r="X3458">
        <v>0</v>
      </c>
      <c r="Y3458">
        <v>0</v>
      </c>
      <c r="Z3458">
        <v>6</v>
      </c>
      <c r="AA3458">
        <v>0</v>
      </c>
      <c r="AC3458">
        <v>27.6</v>
      </c>
    </row>
    <row r="3459" spans="1:29">
      <c r="A3459">
        <v>3452</v>
      </c>
      <c r="B3459">
        <v>2832</v>
      </c>
      <c r="C3459" t="s">
        <v>1848</v>
      </c>
      <c r="D3459" t="s">
        <v>7130</v>
      </c>
      <c r="E3459" t="s">
        <v>115</v>
      </c>
      <c r="F3459" t="s">
        <v>7131</v>
      </c>
      <c r="G3459" t="str">
        <f>"00862719"</f>
        <v>00862719</v>
      </c>
      <c r="H3459">
        <v>21.6</v>
      </c>
      <c r="I3459">
        <v>0</v>
      </c>
      <c r="M3459">
        <v>0</v>
      </c>
      <c r="N3459">
        <v>0</v>
      </c>
      <c r="O3459">
        <v>0</v>
      </c>
      <c r="P3459">
        <v>21.6</v>
      </c>
      <c r="Q3459">
        <v>0</v>
      </c>
      <c r="R3459">
        <v>0</v>
      </c>
      <c r="S3459">
        <v>0</v>
      </c>
      <c r="T3459">
        <v>0</v>
      </c>
      <c r="U3459">
        <v>0</v>
      </c>
      <c r="V3459">
        <v>0</v>
      </c>
      <c r="W3459">
        <v>0</v>
      </c>
      <c r="X3459">
        <v>0</v>
      </c>
      <c r="Y3459">
        <v>0</v>
      </c>
      <c r="Z3459">
        <v>6</v>
      </c>
      <c r="AA3459">
        <v>0</v>
      </c>
      <c r="AC3459">
        <v>27.6</v>
      </c>
    </row>
    <row r="3460" spans="1:29">
      <c r="A3460">
        <v>3453</v>
      </c>
      <c r="B3460">
        <v>2014</v>
      </c>
      <c r="C3460" t="s">
        <v>7134</v>
      </c>
      <c r="D3460" t="s">
        <v>465</v>
      </c>
      <c r="E3460" t="s">
        <v>15</v>
      </c>
      <c r="F3460" t="s">
        <v>7135</v>
      </c>
      <c r="G3460" t="str">
        <f>"00533132"</f>
        <v>00533132</v>
      </c>
      <c r="H3460">
        <v>17.600000000000001</v>
      </c>
      <c r="I3460">
        <v>0</v>
      </c>
      <c r="M3460">
        <v>0</v>
      </c>
      <c r="N3460">
        <v>4</v>
      </c>
      <c r="O3460">
        <v>0</v>
      </c>
      <c r="P3460">
        <v>21.6</v>
      </c>
      <c r="Q3460">
        <v>0</v>
      </c>
      <c r="R3460">
        <v>0</v>
      </c>
      <c r="S3460">
        <v>0</v>
      </c>
      <c r="T3460">
        <v>0</v>
      </c>
      <c r="U3460">
        <v>0</v>
      </c>
      <c r="V3460">
        <v>0</v>
      </c>
      <c r="W3460">
        <v>0</v>
      </c>
      <c r="X3460">
        <v>0</v>
      </c>
      <c r="Y3460">
        <v>0</v>
      </c>
      <c r="Z3460">
        <v>6</v>
      </c>
      <c r="AA3460">
        <v>0</v>
      </c>
      <c r="AC3460">
        <v>27.6</v>
      </c>
    </row>
    <row r="3461" spans="1:29">
      <c r="A3461">
        <v>3454</v>
      </c>
      <c r="B3461">
        <v>3446</v>
      </c>
      <c r="C3461" t="s">
        <v>7136</v>
      </c>
      <c r="D3461" t="s">
        <v>164</v>
      </c>
      <c r="E3461" t="s">
        <v>533</v>
      </c>
      <c r="F3461" t="s">
        <v>7137</v>
      </c>
      <c r="G3461" t="str">
        <f>"00530735"</f>
        <v>00530735</v>
      </c>
      <c r="H3461">
        <v>21.6</v>
      </c>
      <c r="I3461">
        <v>0</v>
      </c>
      <c r="M3461">
        <v>0</v>
      </c>
      <c r="N3461">
        <v>0</v>
      </c>
      <c r="O3461">
        <v>0</v>
      </c>
      <c r="P3461">
        <v>21.6</v>
      </c>
      <c r="Q3461">
        <v>3</v>
      </c>
      <c r="R3461">
        <v>3</v>
      </c>
      <c r="S3461">
        <v>0</v>
      </c>
      <c r="T3461">
        <v>0</v>
      </c>
      <c r="U3461">
        <v>0</v>
      </c>
      <c r="V3461">
        <v>0</v>
      </c>
      <c r="W3461">
        <v>0</v>
      </c>
      <c r="X3461">
        <v>0</v>
      </c>
      <c r="Y3461">
        <v>3</v>
      </c>
      <c r="Z3461">
        <v>3</v>
      </c>
      <c r="AA3461">
        <v>0</v>
      </c>
      <c r="AC3461">
        <v>27.6</v>
      </c>
    </row>
    <row r="3462" spans="1:29">
      <c r="A3462">
        <v>3455</v>
      </c>
      <c r="B3462">
        <v>1617</v>
      </c>
      <c r="C3462" t="s">
        <v>7138</v>
      </c>
      <c r="D3462" t="s">
        <v>175</v>
      </c>
      <c r="E3462" t="s">
        <v>777</v>
      </c>
      <c r="F3462" t="s">
        <v>7139</v>
      </c>
      <c r="G3462" t="str">
        <f>"00856772"</f>
        <v>00856772</v>
      </c>
      <c r="H3462">
        <v>27.6</v>
      </c>
      <c r="I3462">
        <v>0</v>
      </c>
      <c r="M3462">
        <v>0</v>
      </c>
      <c r="N3462">
        <v>0</v>
      </c>
      <c r="O3462">
        <v>0</v>
      </c>
      <c r="P3462">
        <v>27.6</v>
      </c>
      <c r="Q3462">
        <v>0</v>
      </c>
      <c r="R3462">
        <v>0</v>
      </c>
      <c r="S3462">
        <v>0</v>
      </c>
      <c r="T3462">
        <v>0</v>
      </c>
      <c r="U3462">
        <v>0</v>
      </c>
      <c r="V3462">
        <v>0</v>
      </c>
      <c r="W3462">
        <v>0</v>
      </c>
      <c r="X3462">
        <v>0</v>
      </c>
      <c r="Y3462">
        <v>0</v>
      </c>
      <c r="Z3462">
        <v>0</v>
      </c>
      <c r="AA3462">
        <v>0</v>
      </c>
      <c r="AC3462">
        <v>27.6</v>
      </c>
    </row>
    <row r="3463" spans="1:29">
      <c r="A3463">
        <v>3456</v>
      </c>
      <c r="B3463">
        <v>3328</v>
      </c>
      <c r="C3463" t="s">
        <v>7140</v>
      </c>
      <c r="D3463" t="s">
        <v>159</v>
      </c>
      <c r="E3463" t="s">
        <v>36</v>
      </c>
      <c r="F3463" t="s">
        <v>7141</v>
      </c>
      <c r="G3463" t="str">
        <f>"00529294"</f>
        <v>00529294</v>
      </c>
      <c r="H3463">
        <v>27.6</v>
      </c>
      <c r="I3463">
        <v>0</v>
      </c>
      <c r="M3463">
        <v>0</v>
      </c>
      <c r="N3463">
        <v>0</v>
      </c>
      <c r="O3463">
        <v>0</v>
      </c>
      <c r="P3463">
        <v>27.6</v>
      </c>
      <c r="Q3463">
        <v>0</v>
      </c>
      <c r="R3463">
        <v>0</v>
      </c>
      <c r="S3463">
        <v>0</v>
      </c>
      <c r="T3463">
        <v>0</v>
      </c>
      <c r="U3463">
        <v>0</v>
      </c>
      <c r="V3463">
        <v>0</v>
      </c>
      <c r="W3463">
        <v>0</v>
      </c>
      <c r="X3463">
        <v>0</v>
      </c>
      <c r="Y3463">
        <v>0</v>
      </c>
      <c r="Z3463">
        <v>0</v>
      </c>
      <c r="AA3463">
        <v>0</v>
      </c>
      <c r="AC3463">
        <v>27.6</v>
      </c>
    </row>
    <row r="3464" spans="1:29">
      <c r="A3464">
        <v>3457</v>
      </c>
      <c r="B3464">
        <v>4822</v>
      </c>
      <c r="C3464" t="s">
        <v>4379</v>
      </c>
      <c r="D3464" t="s">
        <v>2014</v>
      </c>
      <c r="E3464" t="s">
        <v>50</v>
      </c>
      <c r="F3464" t="s">
        <v>7142</v>
      </c>
      <c r="G3464" t="str">
        <f>"00866938"</f>
        <v>00866938</v>
      </c>
      <c r="H3464">
        <v>25.6</v>
      </c>
      <c r="I3464">
        <v>0</v>
      </c>
      <c r="M3464">
        <v>0</v>
      </c>
      <c r="N3464">
        <v>0</v>
      </c>
      <c r="O3464">
        <v>2</v>
      </c>
      <c r="P3464">
        <v>27.6</v>
      </c>
      <c r="Q3464">
        <v>0</v>
      </c>
      <c r="R3464">
        <v>0</v>
      </c>
      <c r="S3464">
        <v>0</v>
      </c>
      <c r="T3464">
        <v>0</v>
      </c>
      <c r="U3464">
        <v>0</v>
      </c>
      <c r="V3464">
        <v>0</v>
      </c>
      <c r="W3464">
        <v>0</v>
      </c>
      <c r="X3464">
        <v>0</v>
      </c>
      <c r="Y3464">
        <v>0</v>
      </c>
      <c r="Z3464">
        <v>0</v>
      </c>
      <c r="AA3464">
        <v>0</v>
      </c>
      <c r="AC3464">
        <v>27.6</v>
      </c>
    </row>
    <row r="3465" spans="1:29">
      <c r="A3465">
        <v>3458</v>
      </c>
      <c r="B3465">
        <v>3688</v>
      </c>
      <c r="C3465" t="s">
        <v>178</v>
      </c>
      <c r="D3465" t="s">
        <v>124</v>
      </c>
      <c r="E3465" t="s">
        <v>134</v>
      </c>
      <c r="F3465" t="s">
        <v>7143</v>
      </c>
      <c r="G3465" t="str">
        <f>"00861632"</f>
        <v>00861632</v>
      </c>
      <c r="H3465">
        <v>23.6</v>
      </c>
      <c r="I3465">
        <v>0</v>
      </c>
      <c r="M3465">
        <v>0</v>
      </c>
      <c r="N3465">
        <v>4</v>
      </c>
      <c r="O3465">
        <v>0</v>
      </c>
      <c r="P3465">
        <v>27.6</v>
      </c>
      <c r="Q3465">
        <v>0</v>
      </c>
      <c r="R3465">
        <v>0</v>
      </c>
      <c r="S3465">
        <v>0</v>
      </c>
      <c r="T3465">
        <v>0</v>
      </c>
      <c r="U3465">
        <v>0</v>
      </c>
      <c r="V3465">
        <v>0</v>
      </c>
      <c r="W3465">
        <v>0</v>
      </c>
      <c r="X3465">
        <v>0</v>
      </c>
      <c r="Y3465">
        <v>0</v>
      </c>
      <c r="Z3465">
        <v>0</v>
      </c>
      <c r="AA3465">
        <v>0</v>
      </c>
      <c r="AC3465">
        <v>27.6</v>
      </c>
    </row>
    <row r="3466" spans="1:29">
      <c r="A3466">
        <v>3459</v>
      </c>
      <c r="B3466">
        <v>1536</v>
      </c>
      <c r="C3466" t="s">
        <v>5945</v>
      </c>
      <c r="D3466" t="s">
        <v>952</v>
      </c>
      <c r="E3466" t="s">
        <v>32</v>
      </c>
      <c r="F3466" t="s">
        <v>7146</v>
      </c>
      <c r="G3466" t="str">
        <f>"00853457"</f>
        <v>00853457</v>
      </c>
      <c r="H3466">
        <v>21.6</v>
      </c>
      <c r="I3466">
        <v>0</v>
      </c>
      <c r="L3466">
        <v>4</v>
      </c>
      <c r="M3466">
        <v>4</v>
      </c>
      <c r="N3466">
        <v>0</v>
      </c>
      <c r="O3466">
        <v>2</v>
      </c>
      <c r="P3466">
        <v>27.6</v>
      </c>
      <c r="Q3466">
        <v>0</v>
      </c>
      <c r="R3466">
        <v>0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0</v>
      </c>
      <c r="Y3466">
        <v>0</v>
      </c>
      <c r="Z3466">
        <v>0</v>
      </c>
      <c r="AA3466">
        <v>0</v>
      </c>
      <c r="AC3466">
        <v>27.6</v>
      </c>
    </row>
    <row r="3467" spans="1:29">
      <c r="A3467">
        <v>3460</v>
      </c>
      <c r="B3467">
        <v>4531</v>
      </c>
      <c r="C3467" t="s">
        <v>7154</v>
      </c>
      <c r="D3467" t="s">
        <v>1509</v>
      </c>
      <c r="E3467" t="s">
        <v>7155</v>
      </c>
      <c r="F3467" t="s">
        <v>7156</v>
      </c>
      <c r="G3467" t="str">
        <f>"00491366"</f>
        <v>00491366</v>
      </c>
      <c r="H3467">
        <v>21.6</v>
      </c>
      <c r="I3467">
        <v>0</v>
      </c>
      <c r="L3467">
        <v>4</v>
      </c>
      <c r="M3467">
        <v>4</v>
      </c>
      <c r="N3467">
        <v>0</v>
      </c>
      <c r="O3467">
        <v>2</v>
      </c>
      <c r="P3467">
        <v>27.6</v>
      </c>
      <c r="Q3467">
        <v>0</v>
      </c>
      <c r="R3467">
        <v>0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0</v>
      </c>
      <c r="Y3467">
        <v>0</v>
      </c>
      <c r="Z3467">
        <v>0</v>
      </c>
      <c r="AA3467">
        <v>0</v>
      </c>
      <c r="AC3467">
        <v>27.6</v>
      </c>
    </row>
    <row r="3468" spans="1:29">
      <c r="A3468">
        <v>3461</v>
      </c>
      <c r="B3468">
        <v>3119</v>
      </c>
      <c r="C3468" t="s">
        <v>4880</v>
      </c>
      <c r="D3468" t="s">
        <v>52</v>
      </c>
      <c r="E3468" t="s">
        <v>2753</v>
      </c>
      <c r="F3468" t="s">
        <v>7148</v>
      </c>
      <c r="G3468" t="str">
        <f>"00229602"</f>
        <v>00229602</v>
      </c>
      <c r="H3468">
        <v>21.6</v>
      </c>
      <c r="I3468">
        <v>0</v>
      </c>
      <c r="L3468">
        <v>4</v>
      </c>
      <c r="M3468">
        <v>4</v>
      </c>
      <c r="N3468">
        <v>0</v>
      </c>
      <c r="O3468">
        <v>2</v>
      </c>
      <c r="P3468">
        <v>27.6</v>
      </c>
      <c r="Q3468">
        <v>0</v>
      </c>
      <c r="R3468">
        <v>0</v>
      </c>
      <c r="S3468">
        <v>0</v>
      </c>
      <c r="T3468">
        <v>0</v>
      </c>
      <c r="U3468">
        <v>0</v>
      </c>
      <c r="V3468">
        <v>0</v>
      </c>
      <c r="W3468">
        <v>0</v>
      </c>
      <c r="X3468">
        <v>0</v>
      </c>
      <c r="Y3468">
        <v>0</v>
      </c>
      <c r="Z3468">
        <v>0</v>
      </c>
      <c r="AA3468">
        <v>0</v>
      </c>
      <c r="AC3468">
        <v>27.6</v>
      </c>
    </row>
    <row r="3469" spans="1:29">
      <c r="A3469">
        <v>3462</v>
      </c>
      <c r="B3469">
        <v>1410</v>
      </c>
      <c r="C3469" t="s">
        <v>195</v>
      </c>
      <c r="D3469" t="s">
        <v>2765</v>
      </c>
      <c r="E3469" t="s">
        <v>165</v>
      </c>
      <c r="F3469" t="s">
        <v>7151</v>
      </c>
      <c r="G3469" t="str">
        <f>"00858048"</f>
        <v>00858048</v>
      </c>
      <c r="H3469">
        <v>21.6</v>
      </c>
      <c r="I3469">
        <v>0</v>
      </c>
      <c r="M3469">
        <v>0</v>
      </c>
      <c r="N3469">
        <v>4</v>
      </c>
      <c r="O3469">
        <v>2</v>
      </c>
      <c r="P3469">
        <v>27.6</v>
      </c>
      <c r="Q3469">
        <v>0</v>
      </c>
      <c r="R3469">
        <v>0</v>
      </c>
      <c r="S3469">
        <v>0</v>
      </c>
      <c r="T3469">
        <v>0</v>
      </c>
      <c r="U3469">
        <v>0</v>
      </c>
      <c r="V3469">
        <v>0</v>
      </c>
      <c r="W3469">
        <v>0</v>
      </c>
      <c r="X3469">
        <v>0</v>
      </c>
      <c r="Y3469">
        <v>0</v>
      </c>
      <c r="Z3469">
        <v>0</v>
      </c>
      <c r="AA3469">
        <v>0</v>
      </c>
      <c r="AC3469">
        <v>27.6</v>
      </c>
    </row>
    <row r="3470" spans="1:29">
      <c r="A3470">
        <v>3463</v>
      </c>
      <c r="B3470">
        <v>179</v>
      </c>
      <c r="C3470" t="s">
        <v>7149</v>
      </c>
      <c r="D3470" t="s">
        <v>687</v>
      </c>
      <c r="E3470" t="s">
        <v>134</v>
      </c>
      <c r="F3470" t="s">
        <v>7150</v>
      </c>
      <c r="G3470" t="str">
        <f>"00857469"</f>
        <v>00857469</v>
      </c>
      <c r="H3470">
        <v>21.6</v>
      </c>
      <c r="I3470">
        <v>0</v>
      </c>
      <c r="M3470">
        <v>0</v>
      </c>
      <c r="N3470">
        <v>4</v>
      </c>
      <c r="O3470">
        <v>2</v>
      </c>
      <c r="P3470">
        <v>27.6</v>
      </c>
      <c r="Q3470">
        <v>0</v>
      </c>
      <c r="R3470">
        <v>0</v>
      </c>
      <c r="S3470">
        <v>0</v>
      </c>
      <c r="T3470">
        <v>0</v>
      </c>
      <c r="U3470">
        <v>0</v>
      </c>
      <c r="V3470">
        <v>0</v>
      </c>
      <c r="W3470">
        <v>0</v>
      </c>
      <c r="X3470">
        <v>0</v>
      </c>
      <c r="Y3470">
        <v>0</v>
      </c>
      <c r="Z3470">
        <v>0</v>
      </c>
      <c r="AA3470">
        <v>0</v>
      </c>
      <c r="AC3470">
        <v>27.6</v>
      </c>
    </row>
    <row r="3471" spans="1:29">
      <c r="A3471">
        <v>3464</v>
      </c>
      <c r="B3471">
        <v>1881</v>
      </c>
      <c r="C3471" t="s">
        <v>571</v>
      </c>
      <c r="D3471" t="s">
        <v>185</v>
      </c>
      <c r="E3471" t="s">
        <v>122</v>
      </c>
      <c r="F3471" t="s">
        <v>7147</v>
      </c>
      <c r="G3471" t="str">
        <f>"00279966"</f>
        <v>00279966</v>
      </c>
      <c r="H3471">
        <v>21.6</v>
      </c>
      <c r="I3471">
        <v>0</v>
      </c>
      <c r="L3471">
        <v>4</v>
      </c>
      <c r="M3471">
        <v>4</v>
      </c>
      <c r="N3471">
        <v>0</v>
      </c>
      <c r="O3471">
        <v>2</v>
      </c>
      <c r="P3471">
        <v>27.6</v>
      </c>
      <c r="Q3471">
        <v>0</v>
      </c>
      <c r="R3471">
        <v>0</v>
      </c>
      <c r="S3471">
        <v>0</v>
      </c>
      <c r="T3471">
        <v>0</v>
      </c>
      <c r="U3471">
        <v>0</v>
      </c>
      <c r="V3471">
        <v>0</v>
      </c>
      <c r="W3471">
        <v>0</v>
      </c>
      <c r="X3471">
        <v>0</v>
      </c>
      <c r="Y3471">
        <v>0</v>
      </c>
      <c r="Z3471">
        <v>0</v>
      </c>
      <c r="AA3471">
        <v>0</v>
      </c>
      <c r="AC3471">
        <v>27.6</v>
      </c>
    </row>
    <row r="3472" spans="1:29">
      <c r="A3472">
        <v>3465</v>
      </c>
      <c r="B3472">
        <v>1777</v>
      </c>
      <c r="C3472" t="s">
        <v>7144</v>
      </c>
      <c r="D3472" t="s">
        <v>784</v>
      </c>
      <c r="E3472" t="s">
        <v>36</v>
      </c>
      <c r="F3472" t="s">
        <v>7145</v>
      </c>
      <c r="G3472" t="str">
        <f>"00840967"</f>
        <v>00840967</v>
      </c>
      <c r="H3472">
        <v>21.6</v>
      </c>
      <c r="I3472">
        <v>0</v>
      </c>
      <c r="M3472">
        <v>0</v>
      </c>
      <c r="N3472">
        <v>4</v>
      </c>
      <c r="O3472">
        <v>2</v>
      </c>
      <c r="P3472">
        <v>27.6</v>
      </c>
      <c r="Q3472">
        <v>0</v>
      </c>
      <c r="R3472">
        <v>0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0</v>
      </c>
      <c r="Y3472">
        <v>0</v>
      </c>
      <c r="Z3472">
        <v>0</v>
      </c>
      <c r="AA3472">
        <v>0</v>
      </c>
      <c r="AC3472">
        <v>27.6</v>
      </c>
    </row>
    <row r="3473" spans="1:29">
      <c r="A3473">
        <v>3466</v>
      </c>
      <c r="B3473">
        <v>2414</v>
      </c>
      <c r="C3473" t="s">
        <v>7152</v>
      </c>
      <c r="D3473" t="s">
        <v>86</v>
      </c>
      <c r="E3473" t="s">
        <v>18</v>
      </c>
      <c r="F3473" t="s">
        <v>7153</v>
      </c>
      <c r="G3473" t="str">
        <f>"00573733"</f>
        <v>00573733</v>
      </c>
      <c r="H3473">
        <v>21.6</v>
      </c>
      <c r="I3473">
        <v>0</v>
      </c>
      <c r="M3473">
        <v>0</v>
      </c>
      <c r="N3473">
        <v>4</v>
      </c>
      <c r="O3473">
        <v>2</v>
      </c>
      <c r="P3473">
        <v>27.6</v>
      </c>
      <c r="Q3473">
        <v>0</v>
      </c>
      <c r="R3473">
        <v>0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0</v>
      </c>
      <c r="Y3473">
        <v>0</v>
      </c>
      <c r="Z3473">
        <v>0</v>
      </c>
      <c r="AA3473">
        <v>0</v>
      </c>
      <c r="AC3473">
        <v>27.6</v>
      </c>
    </row>
    <row r="3474" spans="1:29">
      <c r="A3474">
        <v>3467</v>
      </c>
      <c r="B3474">
        <v>406</v>
      </c>
      <c r="C3474" t="s">
        <v>7157</v>
      </c>
      <c r="D3474" t="s">
        <v>52</v>
      </c>
      <c r="E3474" t="s">
        <v>134</v>
      </c>
      <c r="F3474" t="s">
        <v>7158</v>
      </c>
      <c r="G3474" t="str">
        <f>"00857655"</f>
        <v>00857655</v>
      </c>
      <c r="H3474">
        <v>17.600000000000001</v>
      </c>
      <c r="I3474">
        <v>10</v>
      </c>
      <c r="M3474">
        <v>0</v>
      </c>
      <c r="N3474">
        <v>0</v>
      </c>
      <c r="O3474">
        <v>0</v>
      </c>
      <c r="P3474">
        <v>27.6</v>
      </c>
      <c r="Q3474">
        <v>0</v>
      </c>
      <c r="R3474">
        <v>0</v>
      </c>
      <c r="S3474">
        <v>0</v>
      </c>
      <c r="T3474">
        <v>0</v>
      </c>
      <c r="U3474">
        <v>0</v>
      </c>
      <c r="V3474">
        <v>0</v>
      </c>
      <c r="W3474">
        <v>0</v>
      </c>
      <c r="X3474">
        <v>0</v>
      </c>
      <c r="Y3474">
        <v>0</v>
      </c>
      <c r="Z3474">
        <v>0</v>
      </c>
      <c r="AA3474">
        <v>0</v>
      </c>
      <c r="AC3474">
        <v>27.6</v>
      </c>
    </row>
    <row r="3475" spans="1:29">
      <c r="A3475">
        <v>3468</v>
      </c>
      <c r="B3475">
        <v>4787</v>
      </c>
      <c r="C3475" t="s">
        <v>7159</v>
      </c>
      <c r="D3475" t="s">
        <v>86</v>
      </c>
      <c r="E3475" t="s">
        <v>165</v>
      </c>
      <c r="F3475" t="s">
        <v>7160</v>
      </c>
      <c r="G3475" t="str">
        <f>"201511020072"</f>
        <v>201511020072</v>
      </c>
      <c r="H3475">
        <v>17.52</v>
      </c>
      <c r="I3475">
        <v>0</v>
      </c>
      <c r="M3475">
        <v>0</v>
      </c>
      <c r="N3475">
        <v>4</v>
      </c>
      <c r="O3475">
        <v>0</v>
      </c>
      <c r="P3475">
        <v>21.52</v>
      </c>
      <c r="Q3475">
        <v>0</v>
      </c>
      <c r="R3475">
        <v>0</v>
      </c>
      <c r="S3475">
        <v>0</v>
      </c>
      <c r="T3475">
        <v>0</v>
      </c>
      <c r="U3475">
        <v>0</v>
      </c>
      <c r="V3475">
        <v>0</v>
      </c>
      <c r="W3475">
        <v>0</v>
      </c>
      <c r="X3475">
        <v>0</v>
      </c>
      <c r="Y3475">
        <v>0</v>
      </c>
      <c r="Z3475">
        <v>6</v>
      </c>
      <c r="AA3475">
        <v>0</v>
      </c>
      <c r="AC3475">
        <v>27.52</v>
      </c>
    </row>
    <row r="3476" spans="1:29">
      <c r="A3476">
        <v>3469</v>
      </c>
      <c r="B3476">
        <v>2484</v>
      </c>
      <c r="C3476" t="s">
        <v>4631</v>
      </c>
      <c r="D3476" t="s">
        <v>6648</v>
      </c>
      <c r="E3476" t="s">
        <v>156</v>
      </c>
      <c r="F3476" t="s">
        <v>7161</v>
      </c>
      <c r="G3476" t="str">
        <f>"00863368"</f>
        <v>00863368</v>
      </c>
      <c r="H3476">
        <v>20.399999999999999</v>
      </c>
      <c r="I3476">
        <v>0</v>
      </c>
      <c r="M3476">
        <v>0</v>
      </c>
      <c r="N3476">
        <v>4</v>
      </c>
      <c r="O3476">
        <v>0</v>
      </c>
      <c r="P3476">
        <v>24.4</v>
      </c>
      <c r="Q3476">
        <v>0</v>
      </c>
      <c r="R3476">
        <v>0</v>
      </c>
      <c r="S3476">
        <v>0</v>
      </c>
      <c r="T3476">
        <v>0</v>
      </c>
      <c r="U3476">
        <v>0</v>
      </c>
      <c r="V3476">
        <v>0</v>
      </c>
      <c r="W3476">
        <v>0</v>
      </c>
      <c r="X3476">
        <v>0</v>
      </c>
      <c r="Y3476">
        <v>0</v>
      </c>
      <c r="Z3476">
        <v>3</v>
      </c>
      <c r="AA3476">
        <v>0</v>
      </c>
      <c r="AC3476">
        <v>27.4</v>
      </c>
    </row>
    <row r="3477" spans="1:29">
      <c r="A3477">
        <v>3470</v>
      </c>
      <c r="B3477">
        <v>3196</v>
      </c>
      <c r="C3477" t="s">
        <v>1531</v>
      </c>
      <c r="D3477" t="s">
        <v>185</v>
      </c>
      <c r="E3477" t="s">
        <v>889</v>
      </c>
      <c r="F3477" t="s">
        <v>7162</v>
      </c>
      <c r="G3477" t="str">
        <f>"00865092"</f>
        <v>00865092</v>
      </c>
      <c r="H3477">
        <v>16.399999999999999</v>
      </c>
      <c r="I3477">
        <v>0</v>
      </c>
      <c r="L3477">
        <v>4</v>
      </c>
      <c r="M3477">
        <v>4</v>
      </c>
      <c r="N3477">
        <v>4</v>
      </c>
      <c r="O3477">
        <v>0</v>
      </c>
      <c r="P3477">
        <v>24.4</v>
      </c>
      <c r="Q3477">
        <v>0</v>
      </c>
      <c r="R3477">
        <v>0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0</v>
      </c>
      <c r="Y3477">
        <v>0</v>
      </c>
      <c r="Z3477">
        <v>3</v>
      </c>
      <c r="AA3477">
        <v>0</v>
      </c>
      <c r="AC3477">
        <v>27.4</v>
      </c>
    </row>
    <row r="3478" spans="1:29">
      <c r="A3478">
        <v>3471</v>
      </c>
      <c r="B3478">
        <v>681</v>
      </c>
      <c r="C3478" t="s">
        <v>7163</v>
      </c>
      <c r="D3478" t="s">
        <v>261</v>
      </c>
      <c r="E3478" t="s">
        <v>60</v>
      </c>
      <c r="F3478" t="s">
        <v>7164</v>
      </c>
      <c r="G3478" t="str">
        <f>"00731177"</f>
        <v>00731177</v>
      </c>
      <c r="H3478">
        <v>14.4</v>
      </c>
      <c r="I3478">
        <v>0</v>
      </c>
      <c r="L3478">
        <v>4</v>
      </c>
      <c r="M3478">
        <v>4</v>
      </c>
      <c r="N3478">
        <v>4</v>
      </c>
      <c r="O3478">
        <v>2</v>
      </c>
      <c r="P3478">
        <v>24.4</v>
      </c>
      <c r="Q3478">
        <v>0</v>
      </c>
      <c r="R3478">
        <v>0</v>
      </c>
      <c r="S3478">
        <v>0</v>
      </c>
      <c r="T3478">
        <v>0</v>
      </c>
      <c r="U3478">
        <v>0</v>
      </c>
      <c r="V3478">
        <v>0</v>
      </c>
      <c r="W3478">
        <v>0</v>
      </c>
      <c r="X3478">
        <v>0</v>
      </c>
      <c r="Y3478">
        <v>0</v>
      </c>
      <c r="Z3478">
        <v>3</v>
      </c>
      <c r="AA3478">
        <v>0</v>
      </c>
      <c r="AC3478">
        <v>27.4</v>
      </c>
    </row>
    <row r="3479" spans="1:29">
      <c r="A3479">
        <v>3472</v>
      </c>
      <c r="B3479">
        <v>1767</v>
      </c>
      <c r="C3479" t="s">
        <v>2924</v>
      </c>
      <c r="D3479" t="s">
        <v>39</v>
      </c>
      <c r="E3479" t="s">
        <v>156</v>
      </c>
      <c r="F3479" t="s">
        <v>7165</v>
      </c>
      <c r="G3479" t="str">
        <f>"00532662"</f>
        <v>00532662</v>
      </c>
      <c r="H3479">
        <v>14.4</v>
      </c>
      <c r="I3479">
        <v>0</v>
      </c>
      <c r="L3479">
        <v>4</v>
      </c>
      <c r="M3479">
        <v>4</v>
      </c>
      <c r="N3479">
        <v>4</v>
      </c>
      <c r="O3479">
        <v>0</v>
      </c>
      <c r="P3479">
        <v>22.4</v>
      </c>
      <c r="Q3479">
        <v>5</v>
      </c>
      <c r="R3479">
        <v>5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0</v>
      </c>
      <c r="Y3479">
        <v>5</v>
      </c>
      <c r="Z3479">
        <v>0</v>
      </c>
      <c r="AA3479">
        <v>0</v>
      </c>
      <c r="AC3479">
        <v>27.4</v>
      </c>
    </row>
    <row r="3480" spans="1:29">
      <c r="A3480">
        <v>3473</v>
      </c>
      <c r="B3480">
        <v>3593</v>
      </c>
      <c r="C3480" t="s">
        <v>4088</v>
      </c>
      <c r="D3480" t="s">
        <v>170</v>
      </c>
      <c r="E3480" t="s">
        <v>134</v>
      </c>
      <c r="F3480" t="s">
        <v>7166</v>
      </c>
      <c r="G3480" t="str">
        <f>"00515880"</f>
        <v>00515880</v>
      </c>
      <c r="H3480">
        <v>14.4</v>
      </c>
      <c r="I3480">
        <v>0</v>
      </c>
      <c r="M3480">
        <v>0</v>
      </c>
      <c r="N3480">
        <v>4</v>
      </c>
      <c r="O3480">
        <v>2</v>
      </c>
      <c r="P3480">
        <v>20.399999999999999</v>
      </c>
      <c r="Q3480">
        <v>7</v>
      </c>
      <c r="R3480">
        <v>7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0</v>
      </c>
      <c r="Y3480">
        <v>7</v>
      </c>
      <c r="Z3480">
        <v>0</v>
      </c>
      <c r="AA3480">
        <v>0</v>
      </c>
      <c r="AC3480">
        <v>27.4</v>
      </c>
    </row>
    <row r="3481" spans="1:29">
      <c r="A3481">
        <v>3474</v>
      </c>
      <c r="B3481">
        <v>4410</v>
      </c>
      <c r="C3481" t="s">
        <v>7167</v>
      </c>
      <c r="D3481" t="s">
        <v>7168</v>
      </c>
      <c r="E3481" t="s">
        <v>115</v>
      </c>
      <c r="F3481" t="s">
        <v>7169</v>
      </c>
      <c r="G3481" t="str">
        <f>"00531453"</f>
        <v>00531453</v>
      </c>
      <c r="H3481">
        <v>14.4</v>
      </c>
      <c r="I3481">
        <v>0</v>
      </c>
      <c r="M3481">
        <v>0</v>
      </c>
      <c r="N3481">
        <v>0</v>
      </c>
      <c r="O3481">
        <v>2</v>
      </c>
      <c r="P3481">
        <v>16.399999999999999</v>
      </c>
      <c r="Q3481">
        <v>11</v>
      </c>
      <c r="R3481">
        <v>11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0</v>
      </c>
      <c r="Y3481">
        <v>11</v>
      </c>
      <c r="Z3481">
        <v>0</v>
      </c>
      <c r="AA3481">
        <v>0</v>
      </c>
      <c r="AC3481">
        <v>27.4</v>
      </c>
    </row>
    <row r="3482" spans="1:29">
      <c r="A3482">
        <v>3475</v>
      </c>
      <c r="B3482">
        <v>1123</v>
      </c>
      <c r="C3482" t="s">
        <v>7170</v>
      </c>
      <c r="D3482" t="s">
        <v>276</v>
      </c>
      <c r="E3482" t="s">
        <v>36</v>
      </c>
      <c r="F3482" t="s">
        <v>7171</v>
      </c>
      <c r="G3482" t="str">
        <f>"00544045"</f>
        <v>00544045</v>
      </c>
      <c r="H3482">
        <v>21.32</v>
      </c>
      <c r="I3482">
        <v>0</v>
      </c>
      <c r="M3482">
        <v>0</v>
      </c>
      <c r="N3482">
        <v>0</v>
      </c>
      <c r="O3482">
        <v>0</v>
      </c>
      <c r="P3482">
        <v>21.32</v>
      </c>
      <c r="Q3482">
        <v>0</v>
      </c>
      <c r="R3482">
        <v>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0</v>
      </c>
      <c r="Y3482">
        <v>0</v>
      </c>
      <c r="Z3482">
        <v>6</v>
      </c>
      <c r="AA3482">
        <v>0</v>
      </c>
      <c r="AC3482">
        <v>27.32</v>
      </c>
    </row>
    <row r="3483" spans="1:29">
      <c r="A3483">
        <v>3476</v>
      </c>
      <c r="B3483">
        <v>3938</v>
      </c>
      <c r="C3483" t="s">
        <v>7172</v>
      </c>
      <c r="D3483" t="s">
        <v>1041</v>
      </c>
      <c r="E3483" t="s">
        <v>369</v>
      </c>
      <c r="F3483" t="s">
        <v>7173</v>
      </c>
      <c r="G3483" t="str">
        <f>"00260798"</f>
        <v>00260798</v>
      </c>
      <c r="H3483">
        <v>24.32</v>
      </c>
      <c r="I3483">
        <v>0</v>
      </c>
      <c r="M3483">
        <v>0</v>
      </c>
      <c r="N3483">
        <v>0</v>
      </c>
      <c r="O3483">
        <v>0</v>
      </c>
      <c r="P3483">
        <v>24.32</v>
      </c>
      <c r="Q3483">
        <v>0</v>
      </c>
      <c r="R3483">
        <v>0</v>
      </c>
      <c r="S3483">
        <v>0</v>
      </c>
      <c r="T3483">
        <v>0</v>
      </c>
      <c r="U3483">
        <v>0</v>
      </c>
      <c r="V3483">
        <v>0</v>
      </c>
      <c r="W3483">
        <v>0</v>
      </c>
      <c r="X3483">
        <v>0</v>
      </c>
      <c r="Y3483">
        <v>0</v>
      </c>
      <c r="Z3483">
        <v>3</v>
      </c>
      <c r="AA3483">
        <v>0</v>
      </c>
      <c r="AC3483">
        <v>27.32</v>
      </c>
    </row>
    <row r="3484" spans="1:29">
      <c r="A3484">
        <v>3477</v>
      </c>
      <c r="B3484">
        <v>403</v>
      </c>
      <c r="C3484" t="s">
        <v>7174</v>
      </c>
      <c r="D3484" t="s">
        <v>2000</v>
      </c>
      <c r="E3484" t="s">
        <v>36</v>
      </c>
      <c r="F3484" t="s">
        <v>7175</v>
      </c>
      <c r="G3484" t="str">
        <f>"00480961"</f>
        <v>00480961</v>
      </c>
      <c r="H3484">
        <v>7.2</v>
      </c>
      <c r="I3484">
        <v>10</v>
      </c>
      <c r="M3484">
        <v>0</v>
      </c>
      <c r="N3484">
        <v>4</v>
      </c>
      <c r="O3484">
        <v>0</v>
      </c>
      <c r="P3484">
        <v>21.2</v>
      </c>
      <c r="Q3484">
        <v>0</v>
      </c>
      <c r="R3484">
        <v>0</v>
      </c>
      <c r="S3484">
        <v>0</v>
      </c>
      <c r="T3484">
        <v>0</v>
      </c>
      <c r="U3484">
        <v>0</v>
      </c>
      <c r="V3484">
        <v>0</v>
      </c>
      <c r="W3484">
        <v>0</v>
      </c>
      <c r="X3484">
        <v>0</v>
      </c>
      <c r="Y3484">
        <v>0</v>
      </c>
      <c r="Z3484">
        <v>6</v>
      </c>
      <c r="AA3484">
        <v>0</v>
      </c>
      <c r="AC3484">
        <v>27.2</v>
      </c>
    </row>
    <row r="3485" spans="1:29">
      <c r="A3485">
        <v>3478</v>
      </c>
      <c r="B3485">
        <v>2540</v>
      </c>
      <c r="C3485" t="s">
        <v>7178</v>
      </c>
      <c r="D3485" t="s">
        <v>130</v>
      </c>
      <c r="E3485" t="s">
        <v>134</v>
      </c>
      <c r="F3485" t="s">
        <v>7179</v>
      </c>
      <c r="G3485" t="str">
        <f>"00856683"</f>
        <v>00856683</v>
      </c>
      <c r="H3485">
        <v>27.2</v>
      </c>
      <c r="I3485">
        <v>0</v>
      </c>
      <c r="M3485">
        <v>0</v>
      </c>
      <c r="N3485">
        <v>0</v>
      </c>
      <c r="O3485">
        <v>0</v>
      </c>
      <c r="P3485">
        <v>27.2</v>
      </c>
      <c r="Q3485">
        <v>0</v>
      </c>
      <c r="R3485">
        <v>0</v>
      </c>
      <c r="S3485">
        <v>0</v>
      </c>
      <c r="T3485">
        <v>0</v>
      </c>
      <c r="U3485">
        <v>0</v>
      </c>
      <c r="V3485">
        <v>0</v>
      </c>
      <c r="W3485">
        <v>0</v>
      </c>
      <c r="X3485">
        <v>0</v>
      </c>
      <c r="Y3485">
        <v>0</v>
      </c>
      <c r="Z3485">
        <v>0</v>
      </c>
      <c r="AA3485">
        <v>0</v>
      </c>
      <c r="AC3485">
        <v>27.2</v>
      </c>
    </row>
    <row r="3486" spans="1:29">
      <c r="A3486">
        <v>3479</v>
      </c>
      <c r="B3486">
        <v>3094</v>
      </c>
      <c r="C3486" t="s">
        <v>6523</v>
      </c>
      <c r="D3486" t="s">
        <v>7176</v>
      </c>
      <c r="E3486" t="s">
        <v>15</v>
      </c>
      <c r="F3486" t="s">
        <v>7177</v>
      </c>
      <c r="G3486" t="str">
        <f>"00276640"</f>
        <v>00276640</v>
      </c>
      <c r="H3486">
        <v>27.2</v>
      </c>
      <c r="I3486">
        <v>0</v>
      </c>
      <c r="M3486">
        <v>0</v>
      </c>
      <c r="N3486">
        <v>0</v>
      </c>
      <c r="O3486">
        <v>0</v>
      </c>
      <c r="P3486">
        <v>27.2</v>
      </c>
      <c r="Q3486">
        <v>0</v>
      </c>
      <c r="R3486">
        <v>0</v>
      </c>
      <c r="S3486">
        <v>0</v>
      </c>
      <c r="T3486">
        <v>0</v>
      </c>
      <c r="U3486">
        <v>0</v>
      </c>
      <c r="V3486">
        <v>0</v>
      </c>
      <c r="W3486">
        <v>0</v>
      </c>
      <c r="X3486">
        <v>0</v>
      </c>
      <c r="Y3486">
        <v>0</v>
      </c>
      <c r="Z3486">
        <v>0</v>
      </c>
      <c r="AA3486">
        <v>0</v>
      </c>
      <c r="AC3486">
        <v>27.2</v>
      </c>
    </row>
    <row r="3487" spans="1:29">
      <c r="A3487">
        <v>3480</v>
      </c>
      <c r="B3487">
        <v>1159</v>
      </c>
      <c r="C3487" t="s">
        <v>2823</v>
      </c>
      <c r="D3487" t="s">
        <v>233</v>
      </c>
      <c r="E3487" t="s">
        <v>2020</v>
      </c>
      <c r="F3487" t="s">
        <v>7180</v>
      </c>
      <c r="G3487" t="str">
        <f>"00857556"</f>
        <v>00857556</v>
      </c>
      <c r="H3487">
        <v>25.2</v>
      </c>
      <c r="I3487">
        <v>0</v>
      </c>
      <c r="M3487">
        <v>0</v>
      </c>
      <c r="N3487">
        <v>0</v>
      </c>
      <c r="O3487">
        <v>2</v>
      </c>
      <c r="P3487">
        <v>27.2</v>
      </c>
      <c r="Q3487">
        <v>0</v>
      </c>
      <c r="R3487">
        <v>0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0</v>
      </c>
      <c r="Y3487">
        <v>0</v>
      </c>
      <c r="Z3487">
        <v>0</v>
      </c>
      <c r="AA3487">
        <v>0</v>
      </c>
      <c r="AC3487">
        <v>27.2</v>
      </c>
    </row>
    <row r="3488" spans="1:29">
      <c r="A3488">
        <v>3481</v>
      </c>
      <c r="B3488">
        <v>106</v>
      </c>
      <c r="C3488" t="s">
        <v>7181</v>
      </c>
      <c r="D3488" t="s">
        <v>7182</v>
      </c>
      <c r="E3488" t="s">
        <v>7183</v>
      </c>
      <c r="F3488" t="s">
        <v>7184</v>
      </c>
      <c r="G3488" t="str">
        <f>"00856641"</f>
        <v>00856641</v>
      </c>
      <c r="H3488">
        <v>21.2</v>
      </c>
      <c r="I3488">
        <v>0</v>
      </c>
      <c r="L3488">
        <v>4</v>
      </c>
      <c r="M3488">
        <v>4</v>
      </c>
      <c r="N3488">
        <v>0</v>
      </c>
      <c r="O3488">
        <v>2</v>
      </c>
      <c r="P3488">
        <v>27.2</v>
      </c>
      <c r="Q3488">
        <v>0</v>
      </c>
      <c r="R3488">
        <v>0</v>
      </c>
      <c r="S3488">
        <v>0</v>
      </c>
      <c r="T3488">
        <v>0</v>
      </c>
      <c r="U3488">
        <v>0</v>
      </c>
      <c r="V3488">
        <v>0</v>
      </c>
      <c r="W3488">
        <v>0</v>
      </c>
      <c r="X3488">
        <v>0</v>
      </c>
      <c r="Y3488">
        <v>0</v>
      </c>
      <c r="Z3488">
        <v>0</v>
      </c>
      <c r="AA3488">
        <v>0</v>
      </c>
      <c r="AC3488">
        <v>27.2</v>
      </c>
    </row>
    <row r="3489" spans="1:29">
      <c r="A3489">
        <v>3482</v>
      </c>
      <c r="B3489">
        <v>2027</v>
      </c>
      <c r="C3489" t="s">
        <v>7187</v>
      </c>
      <c r="D3489" t="s">
        <v>544</v>
      </c>
      <c r="E3489" t="s">
        <v>436</v>
      </c>
      <c r="F3489" t="s">
        <v>7188</v>
      </c>
      <c r="G3489" t="str">
        <f>"00529175"</f>
        <v>00529175</v>
      </c>
      <c r="H3489">
        <v>7.2</v>
      </c>
      <c r="I3489">
        <v>0</v>
      </c>
      <c r="J3489">
        <v>8</v>
      </c>
      <c r="M3489">
        <v>8</v>
      </c>
      <c r="N3489">
        <v>4</v>
      </c>
      <c r="O3489">
        <v>2</v>
      </c>
      <c r="P3489">
        <v>21.2</v>
      </c>
      <c r="Q3489">
        <v>6</v>
      </c>
      <c r="R3489">
        <v>6</v>
      </c>
      <c r="S3489">
        <v>0</v>
      </c>
      <c r="T3489">
        <v>0</v>
      </c>
      <c r="U3489">
        <v>0</v>
      </c>
      <c r="V3489">
        <v>0</v>
      </c>
      <c r="W3489">
        <v>0</v>
      </c>
      <c r="X3489">
        <v>0</v>
      </c>
      <c r="Y3489">
        <v>6</v>
      </c>
      <c r="Z3489">
        <v>0</v>
      </c>
      <c r="AA3489">
        <v>0</v>
      </c>
      <c r="AC3489">
        <v>27.2</v>
      </c>
    </row>
    <row r="3490" spans="1:29">
      <c r="A3490">
        <v>3483</v>
      </c>
      <c r="B3490">
        <v>2892</v>
      </c>
      <c r="C3490" t="s">
        <v>7185</v>
      </c>
      <c r="D3490" t="s">
        <v>108</v>
      </c>
      <c r="E3490" t="s">
        <v>3130</v>
      </c>
      <c r="F3490" t="s">
        <v>7186</v>
      </c>
      <c r="G3490" t="str">
        <f>"00531414"</f>
        <v>00531414</v>
      </c>
      <c r="H3490">
        <v>7.2</v>
      </c>
      <c r="I3490">
        <v>10</v>
      </c>
      <c r="M3490">
        <v>0</v>
      </c>
      <c r="N3490">
        <v>4</v>
      </c>
      <c r="O3490">
        <v>0</v>
      </c>
      <c r="P3490">
        <v>21.2</v>
      </c>
      <c r="Q3490">
        <v>6</v>
      </c>
      <c r="R3490">
        <v>6</v>
      </c>
      <c r="S3490">
        <v>0</v>
      </c>
      <c r="T3490">
        <v>0</v>
      </c>
      <c r="U3490">
        <v>0</v>
      </c>
      <c r="V3490">
        <v>0</v>
      </c>
      <c r="W3490">
        <v>0</v>
      </c>
      <c r="X3490">
        <v>0</v>
      </c>
      <c r="Y3490">
        <v>6</v>
      </c>
      <c r="Z3490">
        <v>0</v>
      </c>
      <c r="AA3490">
        <v>0</v>
      </c>
      <c r="AC3490">
        <v>27.2</v>
      </c>
    </row>
    <row r="3491" spans="1:29">
      <c r="A3491">
        <v>3484</v>
      </c>
      <c r="B3491">
        <v>4097</v>
      </c>
      <c r="C3491" t="s">
        <v>7189</v>
      </c>
      <c r="D3491" t="s">
        <v>24</v>
      </c>
      <c r="E3491" t="s">
        <v>18</v>
      </c>
      <c r="F3491" t="s">
        <v>7190</v>
      </c>
      <c r="G3491" t="str">
        <f>"00515196"</f>
        <v>00515196</v>
      </c>
      <c r="H3491">
        <v>7.2</v>
      </c>
      <c r="I3491">
        <v>0</v>
      </c>
      <c r="L3491">
        <v>4</v>
      </c>
      <c r="M3491">
        <v>4</v>
      </c>
      <c r="N3491">
        <v>0</v>
      </c>
      <c r="O3491">
        <v>0</v>
      </c>
      <c r="P3491">
        <v>11.2</v>
      </c>
      <c r="Q3491">
        <v>6</v>
      </c>
      <c r="R3491">
        <v>6</v>
      </c>
      <c r="S3491">
        <v>5</v>
      </c>
      <c r="T3491">
        <v>10</v>
      </c>
      <c r="U3491">
        <v>0</v>
      </c>
      <c r="V3491">
        <v>0</v>
      </c>
      <c r="W3491">
        <v>0</v>
      </c>
      <c r="X3491">
        <v>0</v>
      </c>
      <c r="Y3491">
        <v>16</v>
      </c>
      <c r="Z3491">
        <v>0</v>
      </c>
      <c r="AA3491">
        <v>0</v>
      </c>
      <c r="AC3491">
        <v>27.2</v>
      </c>
    </row>
    <row r="3492" spans="1:29">
      <c r="A3492">
        <v>3485</v>
      </c>
      <c r="B3492">
        <v>3492</v>
      </c>
      <c r="C3492" t="s">
        <v>7191</v>
      </c>
      <c r="D3492" t="s">
        <v>27</v>
      </c>
      <c r="E3492" t="s">
        <v>79</v>
      </c>
      <c r="F3492" t="s">
        <v>7192</v>
      </c>
      <c r="G3492" t="str">
        <f>"00864154"</f>
        <v>00864154</v>
      </c>
      <c r="H3492">
        <v>23.16</v>
      </c>
      <c r="I3492">
        <v>0</v>
      </c>
      <c r="M3492">
        <v>0</v>
      </c>
      <c r="N3492">
        <v>4</v>
      </c>
      <c r="O3492">
        <v>0</v>
      </c>
      <c r="P3492">
        <v>27.16</v>
      </c>
      <c r="Q3492">
        <v>0</v>
      </c>
      <c r="R3492">
        <v>0</v>
      </c>
      <c r="S3492">
        <v>0</v>
      </c>
      <c r="T3492">
        <v>0</v>
      </c>
      <c r="U3492">
        <v>0</v>
      </c>
      <c r="V3492">
        <v>0</v>
      </c>
      <c r="W3492">
        <v>0</v>
      </c>
      <c r="X3492">
        <v>0</v>
      </c>
      <c r="Y3492">
        <v>0</v>
      </c>
      <c r="Z3492">
        <v>0</v>
      </c>
      <c r="AA3492">
        <v>0</v>
      </c>
      <c r="AC3492">
        <v>27.16</v>
      </c>
    </row>
    <row r="3493" spans="1:29">
      <c r="A3493">
        <v>3486</v>
      </c>
      <c r="B3493">
        <v>4864</v>
      </c>
      <c r="C3493" t="s">
        <v>7193</v>
      </c>
      <c r="D3493" t="s">
        <v>179</v>
      </c>
      <c r="E3493" t="s">
        <v>134</v>
      </c>
      <c r="F3493" t="s">
        <v>7194</v>
      </c>
      <c r="G3493" t="str">
        <f>"00863396"</f>
        <v>00863396</v>
      </c>
      <c r="H3493">
        <v>21.08</v>
      </c>
      <c r="I3493">
        <v>0</v>
      </c>
      <c r="M3493">
        <v>0</v>
      </c>
      <c r="N3493">
        <v>0</v>
      </c>
      <c r="O3493">
        <v>0</v>
      </c>
      <c r="P3493">
        <v>21.08</v>
      </c>
      <c r="Q3493">
        <v>0</v>
      </c>
      <c r="R3493">
        <v>0</v>
      </c>
      <c r="S3493">
        <v>0</v>
      </c>
      <c r="T3493">
        <v>0</v>
      </c>
      <c r="U3493">
        <v>0</v>
      </c>
      <c r="V3493">
        <v>0</v>
      </c>
      <c r="W3493">
        <v>0</v>
      </c>
      <c r="X3493">
        <v>0</v>
      </c>
      <c r="Y3493">
        <v>0</v>
      </c>
      <c r="Z3493">
        <v>6</v>
      </c>
      <c r="AA3493">
        <v>0</v>
      </c>
      <c r="AC3493">
        <v>27.08</v>
      </c>
    </row>
    <row r="3494" spans="1:29">
      <c r="A3494">
        <v>3487</v>
      </c>
      <c r="B3494">
        <v>3359</v>
      </c>
      <c r="C3494" t="s">
        <v>7195</v>
      </c>
      <c r="D3494" t="s">
        <v>210</v>
      </c>
      <c r="E3494" t="s">
        <v>56</v>
      </c>
      <c r="F3494" t="s">
        <v>7196</v>
      </c>
      <c r="G3494" t="str">
        <f>"00864296"</f>
        <v>00864296</v>
      </c>
      <c r="H3494">
        <v>20</v>
      </c>
      <c r="I3494">
        <v>0</v>
      </c>
      <c r="M3494">
        <v>0</v>
      </c>
      <c r="N3494">
        <v>4</v>
      </c>
      <c r="O3494">
        <v>0</v>
      </c>
      <c r="P3494">
        <v>24</v>
      </c>
      <c r="Q3494">
        <v>0</v>
      </c>
      <c r="R3494">
        <v>0</v>
      </c>
      <c r="S3494">
        <v>0</v>
      </c>
      <c r="T3494">
        <v>0</v>
      </c>
      <c r="U3494">
        <v>0</v>
      </c>
      <c r="V3494">
        <v>0</v>
      </c>
      <c r="W3494">
        <v>0</v>
      </c>
      <c r="X3494">
        <v>0</v>
      </c>
      <c r="Y3494">
        <v>0</v>
      </c>
      <c r="Z3494">
        <v>3</v>
      </c>
      <c r="AA3494">
        <v>0</v>
      </c>
      <c r="AC3494">
        <v>27</v>
      </c>
    </row>
    <row r="3495" spans="1:29">
      <c r="A3495">
        <v>3488</v>
      </c>
      <c r="B3495">
        <v>931</v>
      </c>
      <c r="C3495" t="s">
        <v>7197</v>
      </c>
      <c r="D3495" t="s">
        <v>130</v>
      </c>
      <c r="E3495" t="s">
        <v>18</v>
      </c>
      <c r="F3495" t="s">
        <v>7198</v>
      </c>
      <c r="G3495" t="str">
        <f>"00018072"</f>
        <v>00018072</v>
      </c>
      <c r="H3495">
        <v>0</v>
      </c>
      <c r="I3495">
        <v>10</v>
      </c>
      <c r="J3495">
        <v>8</v>
      </c>
      <c r="M3495">
        <v>8</v>
      </c>
      <c r="N3495">
        <v>4</v>
      </c>
      <c r="O3495">
        <v>2</v>
      </c>
      <c r="P3495">
        <v>24</v>
      </c>
      <c r="Q3495">
        <v>0</v>
      </c>
      <c r="R3495">
        <v>0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  <c r="Y3495">
        <v>0</v>
      </c>
      <c r="Z3495">
        <v>3</v>
      </c>
      <c r="AA3495">
        <v>0</v>
      </c>
      <c r="AC3495">
        <v>27</v>
      </c>
    </row>
    <row r="3496" spans="1:29">
      <c r="A3496">
        <v>3489</v>
      </c>
      <c r="B3496">
        <v>70</v>
      </c>
      <c r="C3496" t="s">
        <v>7199</v>
      </c>
      <c r="D3496" t="s">
        <v>784</v>
      </c>
      <c r="E3496" t="s">
        <v>66</v>
      </c>
      <c r="F3496" t="s">
        <v>7200</v>
      </c>
      <c r="G3496" t="str">
        <f>"00497687"</f>
        <v>00497687</v>
      </c>
      <c r="H3496">
        <v>0</v>
      </c>
      <c r="I3496">
        <v>10</v>
      </c>
      <c r="M3496">
        <v>0</v>
      </c>
      <c r="N3496">
        <v>4</v>
      </c>
      <c r="O3496">
        <v>2</v>
      </c>
      <c r="P3496">
        <v>16</v>
      </c>
      <c r="Q3496">
        <v>11</v>
      </c>
      <c r="R3496">
        <v>11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0</v>
      </c>
      <c r="Y3496">
        <v>11</v>
      </c>
      <c r="Z3496">
        <v>0</v>
      </c>
      <c r="AA3496">
        <v>0</v>
      </c>
      <c r="AC3496">
        <v>27</v>
      </c>
    </row>
    <row r="3497" spans="1:29">
      <c r="A3497">
        <v>3490</v>
      </c>
      <c r="B3497">
        <v>4484</v>
      </c>
      <c r="C3497" t="s">
        <v>7201</v>
      </c>
      <c r="D3497" t="s">
        <v>7202</v>
      </c>
      <c r="E3497" t="s">
        <v>156</v>
      </c>
      <c r="F3497" t="s">
        <v>7203</v>
      </c>
      <c r="G3497" t="str">
        <f>"00654552"</f>
        <v>00654552</v>
      </c>
      <c r="H3497">
        <v>18.920000000000002</v>
      </c>
      <c r="I3497">
        <v>0</v>
      </c>
      <c r="M3497">
        <v>0</v>
      </c>
      <c r="N3497">
        <v>4</v>
      </c>
      <c r="O3497">
        <v>0</v>
      </c>
      <c r="P3497">
        <v>22.92</v>
      </c>
      <c r="Q3497">
        <v>4</v>
      </c>
      <c r="R3497">
        <v>4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0</v>
      </c>
      <c r="Y3497">
        <v>4</v>
      </c>
      <c r="Z3497">
        <v>0</v>
      </c>
      <c r="AA3497">
        <v>0</v>
      </c>
      <c r="AC3497">
        <v>26.92</v>
      </c>
    </row>
    <row r="3498" spans="1:29">
      <c r="A3498">
        <v>3491</v>
      </c>
      <c r="B3498">
        <v>3389</v>
      </c>
      <c r="C3498" t="s">
        <v>7204</v>
      </c>
      <c r="D3498" t="s">
        <v>205</v>
      </c>
      <c r="E3498" t="s">
        <v>3522</v>
      </c>
      <c r="F3498" t="s">
        <v>7205</v>
      </c>
      <c r="G3498" t="str">
        <f>"00525424"</f>
        <v>00525424</v>
      </c>
      <c r="H3498">
        <v>16.84</v>
      </c>
      <c r="I3498">
        <v>10</v>
      </c>
      <c r="M3498">
        <v>0</v>
      </c>
      <c r="N3498">
        <v>0</v>
      </c>
      <c r="O3498">
        <v>0</v>
      </c>
      <c r="P3498">
        <v>26.84</v>
      </c>
      <c r="Q3498">
        <v>0</v>
      </c>
      <c r="R3498">
        <v>0</v>
      </c>
      <c r="S3498">
        <v>0</v>
      </c>
      <c r="T3498">
        <v>0</v>
      </c>
      <c r="U3498">
        <v>0</v>
      </c>
      <c r="V3498">
        <v>0</v>
      </c>
      <c r="W3498">
        <v>0</v>
      </c>
      <c r="X3498">
        <v>0</v>
      </c>
      <c r="Y3498">
        <v>0</v>
      </c>
      <c r="Z3498">
        <v>0</v>
      </c>
      <c r="AA3498">
        <v>0</v>
      </c>
      <c r="AC3498">
        <v>26.84</v>
      </c>
    </row>
    <row r="3499" spans="1:29">
      <c r="A3499">
        <v>3492</v>
      </c>
      <c r="B3499">
        <v>140</v>
      </c>
      <c r="C3499" t="s">
        <v>7206</v>
      </c>
      <c r="D3499" t="s">
        <v>24</v>
      </c>
      <c r="E3499" t="s">
        <v>340</v>
      </c>
      <c r="F3499" t="s">
        <v>7207</v>
      </c>
      <c r="G3499" t="str">
        <f>"201511028381"</f>
        <v>201511028381</v>
      </c>
      <c r="H3499">
        <v>20.8</v>
      </c>
      <c r="I3499">
        <v>0</v>
      </c>
      <c r="M3499">
        <v>0</v>
      </c>
      <c r="N3499">
        <v>0</v>
      </c>
      <c r="O3499">
        <v>0</v>
      </c>
      <c r="P3499">
        <v>20.8</v>
      </c>
      <c r="Q3499">
        <v>0</v>
      </c>
      <c r="R3499">
        <v>0</v>
      </c>
      <c r="S3499">
        <v>0</v>
      </c>
      <c r="T3499">
        <v>0</v>
      </c>
      <c r="U3499">
        <v>0</v>
      </c>
      <c r="V3499">
        <v>0</v>
      </c>
      <c r="W3499">
        <v>0</v>
      </c>
      <c r="X3499">
        <v>0</v>
      </c>
      <c r="Y3499">
        <v>0</v>
      </c>
      <c r="Z3499">
        <v>6</v>
      </c>
      <c r="AA3499">
        <v>0</v>
      </c>
      <c r="AC3499">
        <v>26.8</v>
      </c>
    </row>
    <row r="3500" spans="1:29">
      <c r="A3500">
        <v>3493</v>
      </c>
      <c r="B3500">
        <v>2011</v>
      </c>
      <c r="C3500" t="s">
        <v>7208</v>
      </c>
      <c r="D3500" t="s">
        <v>7209</v>
      </c>
      <c r="E3500" t="s">
        <v>156</v>
      </c>
      <c r="F3500" t="s">
        <v>7210</v>
      </c>
      <c r="G3500" t="str">
        <f>"00536010"</f>
        <v>00536010</v>
      </c>
      <c r="H3500">
        <v>10.8</v>
      </c>
      <c r="I3500">
        <v>10</v>
      </c>
      <c r="M3500">
        <v>0</v>
      </c>
      <c r="N3500">
        <v>0</v>
      </c>
      <c r="O3500">
        <v>0</v>
      </c>
      <c r="P3500">
        <v>20.8</v>
      </c>
      <c r="Q3500">
        <v>0</v>
      </c>
      <c r="R3500">
        <v>0</v>
      </c>
      <c r="S3500">
        <v>0</v>
      </c>
      <c r="T3500">
        <v>0</v>
      </c>
      <c r="U3500">
        <v>0</v>
      </c>
      <c r="V3500">
        <v>0</v>
      </c>
      <c r="W3500">
        <v>0</v>
      </c>
      <c r="X3500">
        <v>0</v>
      </c>
      <c r="Y3500">
        <v>0</v>
      </c>
      <c r="Z3500">
        <v>6</v>
      </c>
      <c r="AA3500">
        <v>0</v>
      </c>
      <c r="AC3500">
        <v>26.8</v>
      </c>
    </row>
    <row r="3501" spans="1:29">
      <c r="A3501">
        <v>3494</v>
      </c>
      <c r="B3501">
        <v>4678</v>
      </c>
      <c r="C3501" t="s">
        <v>543</v>
      </c>
      <c r="D3501" t="s">
        <v>27</v>
      </c>
      <c r="E3501" t="s">
        <v>156</v>
      </c>
      <c r="F3501" t="s">
        <v>7211</v>
      </c>
      <c r="G3501" t="str">
        <f>"201511030012"</f>
        <v>201511030012</v>
      </c>
      <c r="H3501">
        <v>26.8</v>
      </c>
      <c r="I3501">
        <v>0</v>
      </c>
      <c r="M3501">
        <v>0</v>
      </c>
      <c r="N3501">
        <v>0</v>
      </c>
      <c r="O3501">
        <v>0</v>
      </c>
      <c r="P3501">
        <v>26.8</v>
      </c>
      <c r="Q3501">
        <v>0</v>
      </c>
      <c r="R3501">
        <v>0</v>
      </c>
      <c r="S3501">
        <v>0</v>
      </c>
      <c r="T3501">
        <v>0</v>
      </c>
      <c r="U3501">
        <v>0</v>
      </c>
      <c r="V3501">
        <v>0</v>
      </c>
      <c r="W3501">
        <v>0</v>
      </c>
      <c r="X3501">
        <v>0</v>
      </c>
      <c r="Y3501">
        <v>0</v>
      </c>
      <c r="Z3501">
        <v>0</v>
      </c>
      <c r="AA3501">
        <v>0</v>
      </c>
      <c r="AC3501">
        <v>26.8</v>
      </c>
    </row>
    <row r="3502" spans="1:29">
      <c r="A3502">
        <v>3495</v>
      </c>
      <c r="B3502">
        <v>4417</v>
      </c>
      <c r="C3502" t="s">
        <v>1298</v>
      </c>
      <c r="D3502" t="s">
        <v>3960</v>
      </c>
      <c r="E3502" t="s">
        <v>227</v>
      </c>
      <c r="F3502" t="s">
        <v>7212</v>
      </c>
      <c r="G3502" t="str">
        <f>"00858790"</f>
        <v>00858790</v>
      </c>
      <c r="H3502">
        <v>22.8</v>
      </c>
      <c r="I3502">
        <v>0</v>
      </c>
      <c r="M3502">
        <v>0</v>
      </c>
      <c r="N3502">
        <v>4</v>
      </c>
      <c r="O3502">
        <v>0</v>
      </c>
      <c r="P3502">
        <v>26.8</v>
      </c>
      <c r="Q3502">
        <v>0</v>
      </c>
      <c r="R3502">
        <v>0</v>
      </c>
      <c r="S3502">
        <v>0</v>
      </c>
      <c r="T3502">
        <v>0</v>
      </c>
      <c r="U3502">
        <v>0</v>
      </c>
      <c r="V3502">
        <v>0</v>
      </c>
      <c r="W3502">
        <v>0</v>
      </c>
      <c r="X3502">
        <v>0</v>
      </c>
      <c r="Y3502">
        <v>0</v>
      </c>
      <c r="Z3502">
        <v>0</v>
      </c>
      <c r="AA3502">
        <v>0</v>
      </c>
      <c r="AC3502">
        <v>26.8</v>
      </c>
    </row>
    <row r="3503" spans="1:29">
      <c r="A3503">
        <v>3496</v>
      </c>
      <c r="B3503">
        <v>4526</v>
      </c>
      <c r="C3503" t="s">
        <v>7213</v>
      </c>
      <c r="D3503" t="s">
        <v>7214</v>
      </c>
      <c r="E3503" t="s">
        <v>7215</v>
      </c>
      <c r="F3503" t="s">
        <v>7216</v>
      </c>
      <c r="G3503" t="str">
        <f>"00865907"</f>
        <v>00865907</v>
      </c>
      <c r="H3503">
        <v>20.72</v>
      </c>
      <c r="I3503">
        <v>0</v>
      </c>
      <c r="M3503">
        <v>0</v>
      </c>
      <c r="N3503">
        <v>0</v>
      </c>
      <c r="O3503">
        <v>0</v>
      </c>
      <c r="P3503">
        <v>20.72</v>
      </c>
      <c r="Q3503">
        <v>0</v>
      </c>
      <c r="R3503">
        <v>0</v>
      </c>
      <c r="S3503">
        <v>0</v>
      </c>
      <c r="T3503">
        <v>0</v>
      </c>
      <c r="U3503">
        <v>0</v>
      </c>
      <c r="V3503">
        <v>0</v>
      </c>
      <c r="W3503">
        <v>0</v>
      </c>
      <c r="X3503">
        <v>0</v>
      </c>
      <c r="Y3503">
        <v>0</v>
      </c>
      <c r="Z3503">
        <v>6</v>
      </c>
      <c r="AA3503">
        <v>0</v>
      </c>
      <c r="AC3503">
        <v>26.72</v>
      </c>
    </row>
    <row r="3504" spans="1:29">
      <c r="A3504">
        <v>3497</v>
      </c>
      <c r="B3504">
        <v>308</v>
      </c>
      <c r="C3504" t="s">
        <v>7217</v>
      </c>
      <c r="D3504" t="s">
        <v>588</v>
      </c>
      <c r="E3504" t="s">
        <v>28</v>
      </c>
      <c r="F3504" t="s">
        <v>7218</v>
      </c>
      <c r="G3504" t="str">
        <f>"00019039"</f>
        <v>00019039</v>
      </c>
      <c r="H3504">
        <v>21.6</v>
      </c>
      <c r="I3504">
        <v>0</v>
      </c>
      <c r="M3504">
        <v>0</v>
      </c>
      <c r="N3504">
        <v>0</v>
      </c>
      <c r="O3504">
        <v>0</v>
      </c>
      <c r="P3504">
        <v>21.6</v>
      </c>
      <c r="Q3504">
        <v>5</v>
      </c>
      <c r="R3504">
        <v>5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0</v>
      </c>
      <c r="Y3504">
        <v>5</v>
      </c>
      <c r="Z3504">
        <v>0</v>
      </c>
      <c r="AA3504">
        <v>0</v>
      </c>
      <c r="AC3504">
        <v>26.6</v>
      </c>
    </row>
    <row r="3505" spans="1:29">
      <c r="A3505">
        <v>3498</v>
      </c>
      <c r="B3505">
        <v>4518</v>
      </c>
      <c r="C3505" t="s">
        <v>7219</v>
      </c>
      <c r="D3505" t="s">
        <v>3981</v>
      </c>
      <c r="E3505" t="s">
        <v>134</v>
      </c>
      <c r="F3505" t="s">
        <v>7220</v>
      </c>
      <c r="G3505" t="str">
        <f>"00697445"</f>
        <v>00697445</v>
      </c>
      <c r="H3505">
        <v>21.6</v>
      </c>
      <c r="I3505">
        <v>0</v>
      </c>
      <c r="M3505">
        <v>0</v>
      </c>
      <c r="N3505">
        <v>0</v>
      </c>
      <c r="O3505">
        <v>0</v>
      </c>
      <c r="P3505">
        <v>21.6</v>
      </c>
      <c r="Q3505">
        <v>5</v>
      </c>
      <c r="R3505">
        <v>5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0</v>
      </c>
      <c r="Y3505">
        <v>5</v>
      </c>
      <c r="Z3505">
        <v>0</v>
      </c>
      <c r="AA3505">
        <v>0</v>
      </c>
      <c r="AC3505">
        <v>26.6</v>
      </c>
    </row>
    <row r="3506" spans="1:29">
      <c r="A3506">
        <v>3499</v>
      </c>
      <c r="B3506">
        <v>2162</v>
      </c>
      <c r="C3506" t="s">
        <v>7221</v>
      </c>
      <c r="D3506" t="s">
        <v>784</v>
      </c>
      <c r="E3506" t="s">
        <v>18</v>
      </c>
      <c r="F3506" t="s">
        <v>7222</v>
      </c>
      <c r="G3506" t="str">
        <f>"00531329"</f>
        <v>00531329</v>
      </c>
      <c r="H3506">
        <v>26.56</v>
      </c>
      <c r="I3506">
        <v>0</v>
      </c>
      <c r="M3506">
        <v>0</v>
      </c>
      <c r="N3506">
        <v>0</v>
      </c>
      <c r="O3506">
        <v>0</v>
      </c>
      <c r="P3506">
        <v>26.56</v>
      </c>
      <c r="Q3506">
        <v>0</v>
      </c>
      <c r="R3506">
        <v>0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0</v>
      </c>
      <c r="Y3506">
        <v>0</v>
      </c>
      <c r="Z3506">
        <v>0</v>
      </c>
      <c r="AA3506">
        <v>0</v>
      </c>
      <c r="AC3506">
        <v>26.56</v>
      </c>
    </row>
    <row r="3507" spans="1:29">
      <c r="A3507">
        <v>3500</v>
      </c>
      <c r="B3507">
        <v>1673</v>
      </c>
      <c r="C3507" t="s">
        <v>1225</v>
      </c>
      <c r="D3507" t="s">
        <v>7223</v>
      </c>
      <c r="E3507" t="s">
        <v>79</v>
      </c>
      <c r="F3507" t="s">
        <v>7224</v>
      </c>
      <c r="G3507" t="str">
        <f>"201604004072"</f>
        <v>201604004072</v>
      </c>
      <c r="H3507">
        <v>19.48</v>
      </c>
      <c r="I3507">
        <v>0</v>
      </c>
      <c r="M3507">
        <v>0</v>
      </c>
      <c r="N3507">
        <v>4</v>
      </c>
      <c r="O3507">
        <v>0</v>
      </c>
      <c r="P3507">
        <v>23.48</v>
      </c>
      <c r="Q3507">
        <v>0</v>
      </c>
      <c r="R3507">
        <v>0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0</v>
      </c>
      <c r="Y3507">
        <v>0</v>
      </c>
      <c r="Z3507">
        <v>3</v>
      </c>
      <c r="AA3507">
        <v>0</v>
      </c>
      <c r="AC3507">
        <v>26.48</v>
      </c>
    </row>
    <row r="3508" spans="1:29">
      <c r="A3508">
        <v>3501</v>
      </c>
      <c r="B3508">
        <v>2678</v>
      </c>
      <c r="C3508" t="s">
        <v>4884</v>
      </c>
      <c r="D3508" t="s">
        <v>7225</v>
      </c>
      <c r="E3508" t="s">
        <v>15</v>
      </c>
      <c r="F3508" t="s">
        <v>7226</v>
      </c>
      <c r="G3508" t="str">
        <f>"00554044"</f>
        <v>00554044</v>
      </c>
      <c r="H3508">
        <v>23.44</v>
      </c>
      <c r="I3508">
        <v>0</v>
      </c>
      <c r="M3508">
        <v>0</v>
      </c>
      <c r="N3508">
        <v>0</v>
      </c>
      <c r="O3508">
        <v>0</v>
      </c>
      <c r="P3508">
        <v>23.44</v>
      </c>
      <c r="Q3508">
        <v>0</v>
      </c>
      <c r="R3508">
        <v>0</v>
      </c>
      <c r="S3508">
        <v>0</v>
      </c>
      <c r="T3508">
        <v>0</v>
      </c>
      <c r="U3508">
        <v>0</v>
      </c>
      <c r="V3508">
        <v>0</v>
      </c>
      <c r="W3508">
        <v>0</v>
      </c>
      <c r="X3508">
        <v>0</v>
      </c>
      <c r="Y3508">
        <v>0</v>
      </c>
      <c r="Z3508">
        <v>3</v>
      </c>
      <c r="AA3508">
        <v>0</v>
      </c>
      <c r="AC3508">
        <v>26.44</v>
      </c>
    </row>
    <row r="3509" spans="1:29">
      <c r="A3509">
        <v>3502</v>
      </c>
      <c r="B3509">
        <v>4053</v>
      </c>
      <c r="C3509" t="s">
        <v>4774</v>
      </c>
      <c r="D3509" t="s">
        <v>141</v>
      </c>
      <c r="E3509" t="s">
        <v>115</v>
      </c>
      <c r="F3509">
        <v>815061</v>
      </c>
      <c r="G3509" t="str">
        <f>"00857487"</f>
        <v>00857487</v>
      </c>
      <c r="H3509">
        <v>14.4</v>
      </c>
      <c r="I3509">
        <v>0</v>
      </c>
      <c r="L3509">
        <v>4</v>
      </c>
      <c r="M3509">
        <v>4</v>
      </c>
      <c r="N3509">
        <v>0</v>
      </c>
      <c r="O3509">
        <v>2</v>
      </c>
      <c r="P3509">
        <v>20.399999999999999</v>
      </c>
      <c r="Q3509">
        <v>0</v>
      </c>
      <c r="R3509">
        <v>0</v>
      </c>
      <c r="S3509">
        <v>0</v>
      </c>
      <c r="T3509">
        <v>0</v>
      </c>
      <c r="U3509">
        <v>0</v>
      </c>
      <c r="V3509">
        <v>0</v>
      </c>
      <c r="W3509">
        <v>0</v>
      </c>
      <c r="X3509">
        <v>0</v>
      </c>
      <c r="Y3509">
        <v>0</v>
      </c>
      <c r="Z3509">
        <v>6</v>
      </c>
      <c r="AA3509">
        <v>0</v>
      </c>
      <c r="AC3509">
        <v>26.4</v>
      </c>
    </row>
    <row r="3510" spans="1:29">
      <c r="A3510">
        <v>3503</v>
      </c>
      <c r="B3510">
        <v>1894</v>
      </c>
      <c r="C3510" t="s">
        <v>7234</v>
      </c>
      <c r="D3510" t="s">
        <v>137</v>
      </c>
      <c r="E3510" t="s">
        <v>122</v>
      </c>
      <c r="F3510" t="s">
        <v>7235</v>
      </c>
      <c r="G3510" t="str">
        <f>"00864689"</f>
        <v>00864689</v>
      </c>
      <c r="H3510">
        <v>14.4</v>
      </c>
      <c r="I3510">
        <v>0</v>
      </c>
      <c r="M3510">
        <v>0</v>
      </c>
      <c r="N3510">
        <v>4</v>
      </c>
      <c r="O3510">
        <v>2</v>
      </c>
      <c r="P3510">
        <v>20.399999999999999</v>
      </c>
      <c r="Q3510">
        <v>0</v>
      </c>
      <c r="R3510">
        <v>0</v>
      </c>
      <c r="S3510">
        <v>0</v>
      </c>
      <c r="T3510">
        <v>0</v>
      </c>
      <c r="U3510">
        <v>0</v>
      </c>
      <c r="V3510">
        <v>0</v>
      </c>
      <c r="W3510">
        <v>0</v>
      </c>
      <c r="X3510">
        <v>0</v>
      </c>
      <c r="Y3510">
        <v>0</v>
      </c>
      <c r="Z3510">
        <v>6</v>
      </c>
      <c r="AA3510">
        <v>0</v>
      </c>
      <c r="AC3510">
        <v>26.4</v>
      </c>
    </row>
    <row r="3511" spans="1:29">
      <c r="A3511">
        <v>3504</v>
      </c>
      <c r="B3511">
        <v>4331</v>
      </c>
      <c r="C3511" t="s">
        <v>7230</v>
      </c>
      <c r="D3511" t="s">
        <v>31</v>
      </c>
      <c r="E3511" t="s">
        <v>134</v>
      </c>
      <c r="F3511" t="s">
        <v>7231</v>
      </c>
      <c r="G3511" t="str">
        <f>"00428660"</f>
        <v>00428660</v>
      </c>
      <c r="H3511">
        <v>14.4</v>
      </c>
      <c r="I3511">
        <v>0</v>
      </c>
      <c r="K3511">
        <v>6</v>
      </c>
      <c r="M3511">
        <v>6</v>
      </c>
      <c r="N3511">
        <v>0</v>
      </c>
      <c r="O3511">
        <v>0</v>
      </c>
      <c r="P3511">
        <v>20.399999999999999</v>
      </c>
      <c r="Q3511">
        <v>0</v>
      </c>
      <c r="R3511">
        <v>0</v>
      </c>
      <c r="S3511">
        <v>0</v>
      </c>
      <c r="T3511">
        <v>0</v>
      </c>
      <c r="U3511">
        <v>0</v>
      </c>
      <c r="V3511">
        <v>0</v>
      </c>
      <c r="W3511">
        <v>0</v>
      </c>
      <c r="X3511">
        <v>0</v>
      </c>
      <c r="Y3511">
        <v>0</v>
      </c>
      <c r="Z3511">
        <v>6</v>
      </c>
      <c r="AA3511">
        <v>0</v>
      </c>
      <c r="AC3511">
        <v>26.4</v>
      </c>
    </row>
    <row r="3512" spans="1:29">
      <c r="A3512">
        <v>3505</v>
      </c>
      <c r="B3512">
        <v>4564</v>
      </c>
      <c r="C3512" t="s">
        <v>7232</v>
      </c>
      <c r="D3512" t="s">
        <v>175</v>
      </c>
      <c r="E3512" t="s">
        <v>115</v>
      </c>
      <c r="F3512" t="s">
        <v>7233</v>
      </c>
      <c r="G3512" t="str">
        <f>"00652254"</f>
        <v>00652254</v>
      </c>
      <c r="H3512">
        <v>14.4</v>
      </c>
      <c r="I3512">
        <v>0</v>
      </c>
      <c r="L3512">
        <v>4</v>
      </c>
      <c r="M3512">
        <v>4</v>
      </c>
      <c r="N3512">
        <v>0</v>
      </c>
      <c r="O3512">
        <v>2</v>
      </c>
      <c r="P3512">
        <v>20.399999999999999</v>
      </c>
      <c r="Q3512">
        <v>0</v>
      </c>
      <c r="R3512">
        <v>0</v>
      </c>
      <c r="S3512">
        <v>0</v>
      </c>
      <c r="T3512">
        <v>0</v>
      </c>
      <c r="U3512">
        <v>0</v>
      </c>
      <c r="V3512">
        <v>0</v>
      </c>
      <c r="W3512">
        <v>0</v>
      </c>
      <c r="X3512">
        <v>0</v>
      </c>
      <c r="Y3512">
        <v>0</v>
      </c>
      <c r="Z3512">
        <v>6</v>
      </c>
      <c r="AA3512">
        <v>0</v>
      </c>
      <c r="AC3512">
        <v>26.4</v>
      </c>
    </row>
    <row r="3513" spans="1:29">
      <c r="A3513">
        <v>3506</v>
      </c>
      <c r="B3513">
        <v>1683</v>
      </c>
      <c r="C3513" t="s">
        <v>7227</v>
      </c>
      <c r="D3513" t="s">
        <v>7228</v>
      </c>
      <c r="E3513" t="s">
        <v>922</v>
      </c>
      <c r="F3513" t="s">
        <v>7229</v>
      </c>
      <c r="G3513" t="str">
        <f>"00532347"</f>
        <v>00532347</v>
      </c>
      <c r="H3513">
        <v>14.4</v>
      </c>
      <c r="I3513">
        <v>0</v>
      </c>
      <c r="M3513">
        <v>0</v>
      </c>
      <c r="N3513">
        <v>4</v>
      </c>
      <c r="O3513">
        <v>2</v>
      </c>
      <c r="P3513">
        <v>20.399999999999999</v>
      </c>
      <c r="Q3513">
        <v>0</v>
      </c>
      <c r="R3513">
        <v>0</v>
      </c>
      <c r="S3513">
        <v>0</v>
      </c>
      <c r="T3513">
        <v>0</v>
      </c>
      <c r="U3513">
        <v>0</v>
      </c>
      <c r="V3513">
        <v>0</v>
      </c>
      <c r="W3513">
        <v>0</v>
      </c>
      <c r="X3513">
        <v>0</v>
      </c>
      <c r="Y3513">
        <v>0</v>
      </c>
      <c r="Z3513">
        <v>6</v>
      </c>
      <c r="AA3513">
        <v>0</v>
      </c>
      <c r="AC3513">
        <v>26.4</v>
      </c>
    </row>
    <row r="3514" spans="1:29">
      <c r="A3514">
        <v>3507</v>
      </c>
      <c r="B3514">
        <v>2559</v>
      </c>
      <c r="C3514" t="s">
        <v>3940</v>
      </c>
      <c r="D3514" t="s">
        <v>216</v>
      </c>
      <c r="E3514" t="s">
        <v>7236</v>
      </c>
      <c r="F3514" t="s">
        <v>7237</v>
      </c>
      <c r="G3514" t="str">
        <f>"00858300"</f>
        <v>00858300</v>
      </c>
      <c r="H3514">
        <v>24.4</v>
      </c>
      <c r="I3514">
        <v>0</v>
      </c>
      <c r="M3514">
        <v>0</v>
      </c>
      <c r="N3514">
        <v>0</v>
      </c>
      <c r="O3514">
        <v>2</v>
      </c>
      <c r="P3514">
        <v>26.4</v>
      </c>
      <c r="Q3514">
        <v>0</v>
      </c>
      <c r="R3514">
        <v>0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0</v>
      </c>
      <c r="Y3514">
        <v>0</v>
      </c>
      <c r="Z3514">
        <v>0</v>
      </c>
      <c r="AA3514">
        <v>0</v>
      </c>
      <c r="AC3514">
        <v>26.4</v>
      </c>
    </row>
    <row r="3515" spans="1:29">
      <c r="A3515">
        <v>3508</v>
      </c>
      <c r="B3515">
        <v>620</v>
      </c>
      <c r="C3515" t="s">
        <v>7238</v>
      </c>
      <c r="D3515" t="s">
        <v>820</v>
      </c>
      <c r="E3515" t="s">
        <v>1159</v>
      </c>
      <c r="F3515" t="s">
        <v>7239</v>
      </c>
      <c r="G3515" t="str">
        <f>"00674165"</f>
        <v>00674165</v>
      </c>
      <c r="H3515">
        <v>14.4</v>
      </c>
      <c r="I3515">
        <v>0</v>
      </c>
      <c r="J3515">
        <v>8</v>
      </c>
      <c r="M3515">
        <v>8</v>
      </c>
      <c r="N3515">
        <v>4</v>
      </c>
      <c r="O3515">
        <v>0</v>
      </c>
      <c r="P3515">
        <v>26.4</v>
      </c>
      <c r="Q3515">
        <v>0</v>
      </c>
      <c r="R3515">
        <v>0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0</v>
      </c>
      <c r="Y3515">
        <v>0</v>
      </c>
      <c r="Z3515">
        <v>0</v>
      </c>
      <c r="AA3515">
        <v>0</v>
      </c>
      <c r="AC3515">
        <v>26.4</v>
      </c>
    </row>
    <row r="3516" spans="1:29">
      <c r="A3516">
        <v>3509</v>
      </c>
      <c r="B3516">
        <v>3369</v>
      </c>
      <c r="C3516" t="s">
        <v>1161</v>
      </c>
      <c r="D3516" t="s">
        <v>185</v>
      </c>
      <c r="E3516" t="s">
        <v>66</v>
      </c>
      <c r="F3516" t="s">
        <v>7240</v>
      </c>
      <c r="G3516" t="str">
        <f>"00533570"</f>
        <v>00533570</v>
      </c>
      <c r="H3516">
        <v>14.4</v>
      </c>
      <c r="I3516">
        <v>0</v>
      </c>
      <c r="J3516">
        <v>8</v>
      </c>
      <c r="M3516">
        <v>8</v>
      </c>
      <c r="N3516">
        <v>4</v>
      </c>
      <c r="O3516">
        <v>0</v>
      </c>
      <c r="P3516">
        <v>26.4</v>
      </c>
      <c r="Q3516">
        <v>0</v>
      </c>
      <c r="R3516">
        <v>0</v>
      </c>
      <c r="S3516">
        <v>0</v>
      </c>
      <c r="T3516">
        <v>0</v>
      </c>
      <c r="U3516">
        <v>0</v>
      </c>
      <c r="V3516">
        <v>0</v>
      </c>
      <c r="W3516">
        <v>0</v>
      </c>
      <c r="X3516">
        <v>0</v>
      </c>
      <c r="Y3516">
        <v>0</v>
      </c>
      <c r="Z3516">
        <v>0</v>
      </c>
      <c r="AA3516">
        <v>0</v>
      </c>
      <c r="AC3516">
        <v>26.4</v>
      </c>
    </row>
    <row r="3517" spans="1:29">
      <c r="A3517">
        <v>3510</v>
      </c>
      <c r="B3517">
        <v>4913</v>
      </c>
      <c r="C3517" t="s">
        <v>7241</v>
      </c>
      <c r="D3517" t="s">
        <v>27</v>
      </c>
      <c r="E3517" t="s">
        <v>227</v>
      </c>
      <c r="F3517" t="s">
        <v>7242</v>
      </c>
      <c r="G3517" t="str">
        <f>"00512479"</f>
        <v>00512479</v>
      </c>
      <c r="H3517">
        <v>14.4</v>
      </c>
      <c r="I3517">
        <v>0</v>
      </c>
      <c r="M3517">
        <v>0</v>
      </c>
      <c r="N3517">
        <v>4</v>
      </c>
      <c r="O3517">
        <v>2</v>
      </c>
      <c r="P3517">
        <v>20.399999999999999</v>
      </c>
      <c r="Q3517">
        <v>6</v>
      </c>
      <c r="R3517">
        <v>6</v>
      </c>
      <c r="S3517">
        <v>0</v>
      </c>
      <c r="T3517">
        <v>0</v>
      </c>
      <c r="U3517">
        <v>0</v>
      </c>
      <c r="V3517">
        <v>0</v>
      </c>
      <c r="W3517">
        <v>0</v>
      </c>
      <c r="X3517">
        <v>0</v>
      </c>
      <c r="Y3517">
        <v>6</v>
      </c>
      <c r="Z3517">
        <v>0</v>
      </c>
      <c r="AA3517">
        <v>0</v>
      </c>
      <c r="AC3517">
        <v>26.4</v>
      </c>
    </row>
    <row r="3518" spans="1:29">
      <c r="A3518">
        <v>3511</v>
      </c>
      <c r="B3518">
        <v>3045</v>
      </c>
      <c r="C3518" t="s">
        <v>5671</v>
      </c>
      <c r="D3518" t="s">
        <v>124</v>
      </c>
      <c r="E3518" t="s">
        <v>1527</v>
      </c>
      <c r="F3518" t="s">
        <v>7243</v>
      </c>
      <c r="G3518" t="str">
        <f>"00861499"</f>
        <v>00861499</v>
      </c>
      <c r="H3518">
        <v>12.28</v>
      </c>
      <c r="I3518">
        <v>10</v>
      </c>
      <c r="M3518">
        <v>0</v>
      </c>
      <c r="N3518">
        <v>4</v>
      </c>
      <c r="O3518">
        <v>0</v>
      </c>
      <c r="P3518">
        <v>26.28</v>
      </c>
      <c r="Q3518">
        <v>0</v>
      </c>
      <c r="R3518">
        <v>0</v>
      </c>
      <c r="S3518">
        <v>0</v>
      </c>
      <c r="T3518">
        <v>0</v>
      </c>
      <c r="U3518">
        <v>0</v>
      </c>
      <c r="V3518">
        <v>0</v>
      </c>
      <c r="W3518">
        <v>0</v>
      </c>
      <c r="X3518">
        <v>0</v>
      </c>
      <c r="Y3518">
        <v>0</v>
      </c>
      <c r="Z3518">
        <v>0</v>
      </c>
      <c r="AA3518">
        <v>0</v>
      </c>
      <c r="AC3518">
        <v>26.28</v>
      </c>
    </row>
    <row r="3519" spans="1:29">
      <c r="A3519">
        <v>3512</v>
      </c>
      <c r="B3519">
        <v>2012</v>
      </c>
      <c r="C3519" t="s">
        <v>7244</v>
      </c>
      <c r="D3519" t="s">
        <v>205</v>
      </c>
      <c r="E3519" t="s">
        <v>36</v>
      </c>
      <c r="F3519" t="s">
        <v>7245</v>
      </c>
      <c r="G3519" t="str">
        <f>"00441514"</f>
        <v>00441514</v>
      </c>
      <c r="H3519">
        <v>7.2</v>
      </c>
      <c r="I3519">
        <v>0</v>
      </c>
      <c r="L3519">
        <v>4</v>
      </c>
      <c r="M3519">
        <v>4</v>
      </c>
      <c r="N3519">
        <v>0</v>
      </c>
      <c r="O3519">
        <v>2</v>
      </c>
      <c r="P3519">
        <v>13.2</v>
      </c>
      <c r="Q3519">
        <v>10</v>
      </c>
      <c r="R3519">
        <v>10</v>
      </c>
      <c r="S3519">
        <v>0</v>
      </c>
      <c r="T3519">
        <v>0</v>
      </c>
      <c r="U3519">
        <v>0</v>
      </c>
      <c r="V3519">
        <v>0</v>
      </c>
      <c r="W3519">
        <v>0</v>
      </c>
      <c r="X3519">
        <v>0</v>
      </c>
      <c r="Y3519">
        <v>10</v>
      </c>
      <c r="Z3519">
        <v>3</v>
      </c>
      <c r="AA3519">
        <v>0</v>
      </c>
      <c r="AC3519">
        <v>26.2</v>
      </c>
    </row>
    <row r="3520" spans="1:29">
      <c r="A3520">
        <v>3513</v>
      </c>
      <c r="B3520">
        <v>428</v>
      </c>
      <c r="C3520" t="s">
        <v>7246</v>
      </c>
      <c r="D3520" t="s">
        <v>39</v>
      </c>
      <c r="E3520" t="s">
        <v>15</v>
      </c>
      <c r="F3520" t="s">
        <v>7247</v>
      </c>
      <c r="G3520" t="str">
        <f>"00690394"</f>
        <v>00690394</v>
      </c>
      <c r="H3520">
        <v>18.2</v>
      </c>
      <c r="I3520">
        <v>0</v>
      </c>
      <c r="L3520">
        <v>4</v>
      </c>
      <c r="M3520">
        <v>4</v>
      </c>
      <c r="N3520">
        <v>4</v>
      </c>
      <c r="O3520">
        <v>0</v>
      </c>
      <c r="P3520">
        <v>26.2</v>
      </c>
      <c r="Q3520">
        <v>0</v>
      </c>
      <c r="R3520">
        <v>0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  <c r="Y3520">
        <v>0</v>
      </c>
      <c r="Z3520">
        <v>0</v>
      </c>
      <c r="AA3520">
        <v>0</v>
      </c>
      <c r="AC3520">
        <v>26.2</v>
      </c>
    </row>
    <row r="3521" spans="1:29">
      <c r="A3521">
        <v>3514</v>
      </c>
      <c r="B3521">
        <v>1202</v>
      </c>
      <c r="C3521" t="s">
        <v>7248</v>
      </c>
      <c r="D3521" t="s">
        <v>7249</v>
      </c>
      <c r="E3521" t="s">
        <v>7250</v>
      </c>
      <c r="F3521" t="s">
        <v>7251</v>
      </c>
      <c r="G3521" t="str">
        <f>"00151942"</f>
        <v>00151942</v>
      </c>
      <c r="H3521">
        <v>7.2</v>
      </c>
      <c r="I3521">
        <v>0</v>
      </c>
      <c r="M3521">
        <v>0</v>
      </c>
      <c r="N3521">
        <v>4</v>
      </c>
      <c r="O3521">
        <v>2</v>
      </c>
      <c r="P3521">
        <v>13.2</v>
      </c>
      <c r="Q3521">
        <v>13</v>
      </c>
      <c r="R3521">
        <v>13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0</v>
      </c>
      <c r="Y3521">
        <v>13</v>
      </c>
      <c r="Z3521">
        <v>0</v>
      </c>
      <c r="AA3521">
        <v>0</v>
      </c>
      <c r="AC3521">
        <v>26.2</v>
      </c>
    </row>
    <row r="3522" spans="1:29">
      <c r="A3522">
        <v>3515</v>
      </c>
      <c r="B3522">
        <v>1571</v>
      </c>
      <c r="C3522" t="s">
        <v>7252</v>
      </c>
      <c r="D3522" t="s">
        <v>1640</v>
      </c>
      <c r="E3522" t="s">
        <v>252</v>
      </c>
      <c r="F3522" t="s">
        <v>7253</v>
      </c>
      <c r="G3522" t="str">
        <f>"00498358"</f>
        <v>00498358</v>
      </c>
      <c r="H3522">
        <v>7.2</v>
      </c>
      <c r="I3522">
        <v>0</v>
      </c>
      <c r="M3522">
        <v>0</v>
      </c>
      <c r="N3522">
        <v>4</v>
      </c>
      <c r="O3522">
        <v>2</v>
      </c>
      <c r="P3522">
        <v>13.2</v>
      </c>
      <c r="Q3522">
        <v>13</v>
      </c>
      <c r="R3522">
        <v>13</v>
      </c>
      <c r="S3522">
        <v>0</v>
      </c>
      <c r="T3522">
        <v>0</v>
      </c>
      <c r="U3522">
        <v>0</v>
      </c>
      <c r="V3522">
        <v>0</v>
      </c>
      <c r="W3522">
        <v>0</v>
      </c>
      <c r="X3522">
        <v>0</v>
      </c>
      <c r="Y3522">
        <v>13</v>
      </c>
      <c r="Z3522">
        <v>0</v>
      </c>
      <c r="AA3522">
        <v>0</v>
      </c>
      <c r="AC3522">
        <v>26.2</v>
      </c>
    </row>
    <row r="3523" spans="1:29">
      <c r="A3523">
        <v>3516</v>
      </c>
      <c r="B3523">
        <v>4321</v>
      </c>
      <c r="C3523" t="s">
        <v>7254</v>
      </c>
      <c r="D3523" t="s">
        <v>7255</v>
      </c>
      <c r="E3523" t="s">
        <v>304</v>
      </c>
      <c r="F3523" t="s">
        <v>7256</v>
      </c>
      <c r="G3523" t="str">
        <f>"00864974"</f>
        <v>00864974</v>
      </c>
      <c r="H3523">
        <v>17.079999999999998</v>
      </c>
      <c r="I3523">
        <v>0</v>
      </c>
      <c r="M3523">
        <v>0</v>
      </c>
      <c r="N3523">
        <v>0</v>
      </c>
      <c r="O3523">
        <v>0</v>
      </c>
      <c r="P3523">
        <v>17.079999999999998</v>
      </c>
      <c r="Q3523">
        <v>0</v>
      </c>
      <c r="R3523">
        <v>0</v>
      </c>
      <c r="S3523">
        <v>0</v>
      </c>
      <c r="T3523">
        <v>0</v>
      </c>
      <c r="U3523">
        <v>0</v>
      </c>
      <c r="V3523">
        <v>0</v>
      </c>
      <c r="W3523">
        <v>0</v>
      </c>
      <c r="X3523">
        <v>0</v>
      </c>
      <c r="Y3523">
        <v>0</v>
      </c>
      <c r="Z3523">
        <v>9</v>
      </c>
      <c r="AA3523">
        <v>0</v>
      </c>
      <c r="AC3523">
        <v>26.08</v>
      </c>
    </row>
    <row r="3524" spans="1:29">
      <c r="A3524">
        <v>3517</v>
      </c>
      <c r="B3524">
        <v>690</v>
      </c>
      <c r="C3524" t="s">
        <v>7257</v>
      </c>
      <c r="D3524" t="s">
        <v>49</v>
      </c>
      <c r="E3524" t="s">
        <v>1807</v>
      </c>
      <c r="F3524" t="s">
        <v>7258</v>
      </c>
      <c r="G3524" t="str">
        <f>"201410009242"</f>
        <v>201410009242</v>
      </c>
      <c r="H3524">
        <v>20</v>
      </c>
      <c r="I3524">
        <v>0</v>
      </c>
      <c r="M3524">
        <v>0</v>
      </c>
      <c r="N3524">
        <v>0</v>
      </c>
      <c r="O3524">
        <v>0</v>
      </c>
      <c r="P3524">
        <v>20</v>
      </c>
      <c r="Q3524">
        <v>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0</v>
      </c>
      <c r="Y3524">
        <v>0</v>
      </c>
      <c r="Z3524">
        <v>6</v>
      </c>
      <c r="AA3524">
        <v>0</v>
      </c>
      <c r="AC3524">
        <v>26</v>
      </c>
    </row>
    <row r="3525" spans="1:29">
      <c r="A3525">
        <v>3518</v>
      </c>
      <c r="B3525">
        <v>335</v>
      </c>
      <c r="C3525" t="s">
        <v>7259</v>
      </c>
      <c r="D3525" t="s">
        <v>52</v>
      </c>
      <c r="E3525" t="s">
        <v>36</v>
      </c>
      <c r="F3525" t="s">
        <v>7260</v>
      </c>
      <c r="G3525" t="str">
        <f>"00847909"</f>
        <v>00847909</v>
      </c>
      <c r="H3525">
        <v>22</v>
      </c>
      <c r="I3525">
        <v>0</v>
      </c>
      <c r="M3525">
        <v>0</v>
      </c>
      <c r="N3525">
        <v>4</v>
      </c>
      <c r="O3525">
        <v>0</v>
      </c>
      <c r="P3525">
        <v>26</v>
      </c>
      <c r="Q3525">
        <v>0</v>
      </c>
      <c r="R3525">
        <v>0</v>
      </c>
      <c r="S3525">
        <v>0</v>
      </c>
      <c r="T3525">
        <v>0</v>
      </c>
      <c r="U3525">
        <v>0</v>
      </c>
      <c r="V3525">
        <v>0</v>
      </c>
      <c r="W3525">
        <v>0</v>
      </c>
      <c r="X3525">
        <v>0</v>
      </c>
      <c r="Y3525">
        <v>0</v>
      </c>
      <c r="Z3525">
        <v>0</v>
      </c>
      <c r="AA3525">
        <v>0</v>
      </c>
      <c r="AC3525">
        <v>26</v>
      </c>
    </row>
    <row r="3526" spans="1:29">
      <c r="A3526">
        <v>3519</v>
      </c>
      <c r="B3526">
        <v>3163</v>
      </c>
      <c r="C3526" t="s">
        <v>7261</v>
      </c>
      <c r="D3526" t="s">
        <v>7262</v>
      </c>
      <c r="E3526" t="s">
        <v>2266</v>
      </c>
      <c r="F3526" t="s">
        <v>7263</v>
      </c>
      <c r="G3526" t="str">
        <f>"00702959"</f>
        <v>00702959</v>
      </c>
      <c r="H3526">
        <v>12</v>
      </c>
      <c r="I3526">
        <v>10</v>
      </c>
      <c r="M3526">
        <v>0</v>
      </c>
      <c r="N3526">
        <v>4</v>
      </c>
      <c r="O3526">
        <v>0</v>
      </c>
      <c r="P3526">
        <v>26</v>
      </c>
      <c r="Q3526">
        <v>0</v>
      </c>
      <c r="R3526">
        <v>0</v>
      </c>
      <c r="S3526">
        <v>0</v>
      </c>
      <c r="T3526">
        <v>0</v>
      </c>
      <c r="U3526">
        <v>0</v>
      </c>
      <c r="V3526">
        <v>0</v>
      </c>
      <c r="W3526">
        <v>0</v>
      </c>
      <c r="X3526">
        <v>0</v>
      </c>
      <c r="Y3526">
        <v>0</v>
      </c>
      <c r="Z3526">
        <v>0</v>
      </c>
      <c r="AA3526">
        <v>0</v>
      </c>
      <c r="AC3526">
        <v>26</v>
      </c>
    </row>
    <row r="3527" spans="1:29">
      <c r="A3527">
        <v>3520</v>
      </c>
      <c r="B3527">
        <v>1852</v>
      </c>
      <c r="C3527" t="s">
        <v>7264</v>
      </c>
      <c r="D3527" t="s">
        <v>7265</v>
      </c>
      <c r="E3527" t="s">
        <v>6140</v>
      </c>
      <c r="F3527" t="s">
        <v>7266</v>
      </c>
      <c r="G3527" t="str">
        <f>"00531800"</f>
        <v>00531800</v>
      </c>
      <c r="H3527">
        <v>0</v>
      </c>
      <c r="I3527">
        <v>10</v>
      </c>
      <c r="M3527">
        <v>0</v>
      </c>
      <c r="N3527">
        <v>4</v>
      </c>
      <c r="O3527">
        <v>2</v>
      </c>
      <c r="P3527">
        <v>16</v>
      </c>
      <c r="Q3527">
        <v>10</v>
      </c>
      <c r="R3527">
        <v>10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0</v>
      </c>
      <c r="Y3527">
        <v>10</v>
      </c>
      <c r="Z3527">
        <v>0</v>
      </c>
      <c r="AA3527">
        <v>0</v>
      </c>
      <c r="AC3527">
        <v>26</v>
      </c>
    </row>
    <row r="3528" spans="1:29">
      <c r="A3528">
        <v>3521</v>
      </c>
      <c r="B3528">
        <v>1838</v>
      </c>
      <c r="C3528" t="s">
        <v>7269</v>
      </c>
      <c r="D3528" t="s">
        <v>336</v>
      </c>
      <c r="E3528" t="s">
        <v>647</v>
      </c>
      <c r="F3528" t="s">
        <v>7270</v>
      </c>
      <c r="G3528" t="str">
        <f>"00642232"</f>
        <v>00642232</v>
      </c>
      <c r="H3528">
        <v>21.8</v>
      </c>
      <c r="I3528">
        <v>0</v>
      </c>
      <c r="M3528">
        <v>0</v>
      </c>
      <c r="N3528">
        <v>4</v>
      </c>
      <c r="O3528">
        <v>0</v>
      </c>
      <c r="P3528">
        <v>25.8</v>
      </c>
      <c r="Q3528">
        <v>0</v>
      </c>
      <c r="R3528">
        <v>0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0</v>
      </c>
      <c r="Y3528">
        <v>0</v>
      </c>
      <c r="Z3528">
        <v>0</v>
      </c>
      <c r="AA3528">
        <v>0</v>
      </c>
      <c r="AC3528">
        <v>25.8</v>
      </c>
    </row>
    <row r="3529" spans="1:29">
      <c r="A3529">
        <v>3522</v>
      </c>
      <c r="B3529">
        <v>2295</v>
      </c>
      <c r="C3529" t="s">
        <v>7267</v>
      </c>
      <c r="D3529" t="s">
        <v>1509</v>
      </c>
      <c r="E3529" t="s">
        <v>1527</v>
      </c>
      <c r="F3529" t="s">
        <v>7268</v>
      </c>
      <c r="G3529" t="str">
        <f>"201511016575"</f>
        <v>201511016575</v>
      </c>
      <c r="H3529">
        <v>21.8</v>
      </c>
      <c r="I3529">
        <v>0</v>
      </c>
      <c r="M3529">
        <v>0</v>
      </c>
      <c r="N3529">
        <v>4</v>
      </c>
      <c r="O3529">
        <v>0</v>
      </c>
      <c r="P3529">
        <v>25.8</v>
      </c>
      <c r="Q3529">
        <v>0</v>
      </c>
      <c r="R3529">
        <v>0</v>
      </c>
      <c r="S3529">
        <v>0</v>
      </c>
      <c r="T3529">
        <v>0</v>
      </c>
      <c r="U3529">
        <v>0</v>
      </c>
      <c r="V3529">
        <v>0</v>
      </c>
      <c r="W3529">
        <v>0</v>
      </c>
      <c r="X3529">
        <v>0</v>
      </c>
      <c r="Y3529">
        <v>0</v>
      </c>
      <c r="Z3529">
        <v>0</v>
      </c>
      <c r="AA3529">
        <v>0</v>
      </c>
      <c r="AC3529">
        <v>25.8</v>
      </c>
    </row>
    <row r="3530" spans="1:29">
      <c r="A3530">
        <v>3523</v>
      </c>
      <c r="B3530">
        <v>3899</v>
      </c>
      <c r="C3530" t="s">
        <v>7271</v>
      </c>
      <c r="D3530" t="s">
        <v>853</v>
      </c>
      <c r="E3530" t="s">
        <v>89</v>
      </c>
      <c r="F3530" t="s">
        <v>7272</v>
      </c>
      <c r="G3530" t="str">
        <f>"00650461"</f>
        <v>00650461</v>
      </c>
      <c r="H3530">
        <v>18.760000000000002</v>
      </c>
      <c r="I3530">
        <v>0</v>
      </c>
      <c r="M3530">
        <v>0</v>
      </c>
      <c r="N3530">
        <v>4</v>
      </c>
      <c r="O3530">
        <v>0</v>
      </c>
      <c r="P3530">
        <v>22.76</v>
      </c>
      <c r="Q3530">
        <v>0</v>
      </c>
      <c r="R3530">
        <v>0</v>
      </c>
      <c r="S3530">
        <v>0</v>
      </c>
      <c r="T3530">
        <v>0</v>
      </c>
      <c r="U3530">
        <v>0</v>
      </c>
      <c r="V3530">
        <v>0</v>
      </c>
      <c r="W3530">
        <v>0</v>
      </c>
      <c r="X3530">
        <v>0</v>
      </c>
      <c r="Y3530">
        <v>0</v>
      </c>
      <c r="Z3530">
        <v>3</v>
      </c>
      <c r="AA3530">
        <v>0</v>
      </c>
      <c r="AC3530">
        <v>25.76</v>
      </c>
    </row>
    <row r="3531" spans="1:29">
      <c r="A3531">
        <v>3524</v>
      </c>
      <c r="B3531">
        <v>2301</v>
      </c>
      <c r="C3531" t="s">
        <v>7286</v>
      </c>
      <c r="D3531" t="s">
        <v>31</v>
      </c>
      <c r="E3531" t="s">
        <v>15</v>
      </c>
      <c r="F3531" t="s">
        <v>7287</v>
      </c>
      <c r="G3531" t="str">
        <f>"00854295"</f>
        <v>00854295</v>
      </c>
      <c r="H3531">
        <v>21.6</v>
      </c>
      <c r="I3531">
        <v>0</v>
      </c>
      <c r="L3531">
        <v>4</v>
      </c>
      <c r="M3531">
        <v>4</v>
      </c>
      <c r="N3531">
        <v>0</v>
      </c>
      <c r="O3531">
        <v>0</v>
      </c>
      <c r="P3531">
        <v>25.6</v>
      </c>
      <c r="Q3531">
        <v>0</v>
      </c>
      <c r="R3531">
        <v>0</v>
      </c>
      <c r="S3531">
        <v>0</v>
      </c>
      <c r="T3531">
        <v>0</v>
      </c>
      <c r="U3531">
        <v>0</v>
      </c>
      <c r="V3531">
        <v>0</v>
      </c>
      <c r="W3531">
        <v>0</v>
      </c>
      <c r="X3531">
        <v>0</v>
      </c>
      <c r="Y3531">
        <v>0</v>
      </c>
      <c r="Z3531">
        <v>0</v>
      </c>
      <c r="AA3531">
        <v>0</v>
      </c>
      <c r="AC3531">
        <v>25.6</v>
      </c>
    </row>
    <row r="3532" spans="1:29">
      <c r="A3532">
        <v>3525</v>
      </c>
      <c r="B3532">
        <v>1568</v>
      </c>
      <c r="C3532" t="s">
        <v>7281</v>
      </c>
      <c r="D3532" t="s">
        <v>102</v>
      </c>
      <c r="E3532" t="s">
        <v>66</v>
      </c>
      <c r="F3532" t="s">
        <v>7282</v>
      </c>
      <c r="G3532" t="str">
        <f>"00858981"</f>
        <v>00858981</v>
      </c>
      <c r="H3532">
        <v>21.6</v>
      </c>
      <c r="I3532">
        <v>0</v>
      </c>
      <c r="M3532">
        <v>0</v>
      </c>
      <c r="N3532">
        <v>4</v>
      </c>
      <c r="O3532">
        <v>0</v>
      </c>
      <c r="P3532">
        <v>25.6</v>
      </c>
      <c r="Q3532">
        <v>0</v>
      </c>
      <c r="R3532">
        <v>0</v>
      </c>
      <c r="S3532">
        <v>0</v>
      </c>
      <c r="T3532">
        <v>0</v>
      </c>
      <c r="U3532">
        <v>0</v>
      </c>
      <c r="V3532">
        <v>0</v>
      </c>
      <c r="W3532">
        <v>0</v>
      </c>
      <c r="X3532">
        <v>0</v>
      </c>
      <c r="Y3532">
        <v>0</v>
      </c>
      <c r="Z3532">
        <v>0</v>
      </c>
      <c r="AA3532">
        <v>0</v>
      </c>
      <c r="AC3532">
        <v>25.6</v>
      </c>
    </row>
    <row r="3533" spans="1:29">
      <c r="A3533">
        <v>3526</v>
      </c>
      <c r="B3533">
        <v>4524</v>
      </c>
      <c r="C3533" t="s">
        <v>2620</v>
      </c>
      <c r="D3533" t="s">
        <v>853</v>
      </c>
      <c r="E3533" t="s">
        <v>115</v>
      </c>
      <c r="F3533" t="s">
        <v>7275</v>
      </c>
      <c r="G3533" t="str">
        <f>"00217589"</f>
        <v>00217589</v>
      </c>
      <c r="H3533">
        <v>21.6</v>
      </c>
      <c r="I3533">
        <v>0</v>
      </c>
      <c r="L3533">
        <v>4</v>
      </c>
      <c r="M3533">
        <v>4</v>
      </c>
      <c r="N3533">
        <v>0</v>
      </c>
      <c r="O3533">
        <v>0</v>
      </c>
      <c r="P3533">
        <v>25.6</v>
      </c>
      <c r="Q3533">
        <v>0</v>
      </c>
      <c r="R3533">
        <v>0</v>
      </c>
      <c r="S3533">
        <v>0</v>
      </c>
      <c r="T3533">
        <v>0</v>
      </c>
      <c r="U3533">
        <v>0</v>
      </c>
      <c r="V3533">
        <v>0</v>
      </c>
      <c r="W3533">
        <v>0</v>
      </c>
      <c r="X3533">
        <v>0</v>
      </c>
      <c r="Y3533">
        <v>0</v>
      </c>
      <c r="Z3533">
        <v>0</v>
      </c>
      <c r="AA3533">
        <v>0</v>
      </c>
      <c r="AC3533">
        <v>25.6</v>
      </c>
    </row>
    <row r="3534" spans="1:29">
      <c r="A3534">
        <v>3527</v>
      </c>
      <c r="B3534">
        <v>2661</v>
      </c>
      <c r="C3534" t="s">
        <v>7288</v>
      </c>
      <c r="D3534" t="s">
        <v>205</v>
      </c>
      <c r="E3534" t="s">
        <v>165</v>
      </c>
      <c r="F3534" t="s">
        <v>7289</v>
      </c>
      <c r="G3534" t="str">
        <f>"00864404"</f>
        <v>00864404</v>
      </c>
      <c r="H3534">
        <v>21.6</v>
      </c>
      <c r="I3534">
        <v>0</v>
      </c>
      <c r="M3534">
        <v>0</v>
      </c>
      <c r="N3534">
        <v>4</v>
      </c>
      <c r="O3534">
        <v>0</v>
      </c>
      <c r="P3534">
        <v>25.6</v>
      </c>
      <c r="Q3534">
        <v>0</v>
      </c>
      <c r="R3534">
        <v>0</v>
      </c>
      <c r="S3534">
        <v>0</v>
      </c>
      <c r="T3534">
        <v>0</v>
      </c>
      <c r="U3534">
        <v>0</v>
      </c>
      <c r="V3534">
        <v>0</v>
      </c>
      <c r="W3534">
        <v>0</v>
      </c>
      <c r="X3534">
        <v>0</v>
      </c>
      <c r="Y3534">
        <v>0</v>
      </c>
      <c r="Z3534">
        <v>0</v>
      </c>
      <c r="AA3534">
        <v>0</v>
      </c>
      <c r="AC3534">
        <v>25.6</v>
      </c>
    </row>
    <row r="3535" spans="1:29">
      <c r="A3535">
        <v>3528</v>
      </c>
      <c r="B3535">
        <v>717</v>
      </c>
      <c r="C3535" t="s">
        <v>7279</v>
      </c>
      <c r="D3535" t="s">
        <v>1729</v>
      </c>
      <c r="E3535" t="s">
        <v>156</v>
      </c>
      <c r="F3535" t="s">
        <v>7280</v>
      </c>
      <c r="G3535" t="str">
        <f>"00739788"</f>
        <v>00739788</v>
      </c>
      <c r="H3535">
        <v>21.6</v>
      </c>
      <c r="I3535">
        <v>0</v>
      </c>
      <c r="L3535">
        <v>4</v>
      </c>
      <c r="M3535">
        <v>4</v>
      </c>
      <c r="N3535">
        <v>0</v>
      </c>
      <c r="O3535">
        <v>0</v>
      </c>
      <c r="P3535">
        <v>25.6</v>
      </c>
      <c r="Q3535">
        <v>0</v>
      </c>
      <c r="R3535">
        <v>0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0</v>
      </c>
      <c r="Y3535">
        <v>0</v>
      </c>
      <c r="Z3535">
        <v>0</v>
      </c>
      <c r="AA3535">
        <v>0</v>
      </c>
      <c r="AC3535">
        <v>25.6</v>
      </c>
    </row>
    <row r="3536" spans="1:29">
      <c r="A3536">
        <v>3529</v>
      </c>
      <c r="B3536">
        <v>3212</v>
      </c>
      <c r="C3536" t="s">
        <v>7273</v>
      </c>
      <c r="D3536" t="s">
        <v>39</v>
      </c>
      <c r="E3536" t="s">
        <v>36</v>
      </c>
      <c r="F3536" t="s">
        <v>7274</v>
      </c>
      <c r="G3536" t="str">
        <f>"00379336"</f>
        <v>00379336</v>
      </c>
      <c r="H3536">
        <v>21.6</v>
      </c>
      <c r="I3536">
        <v>0</v>
      </c>
      <c r="M3536">
        <v>0</v>
      </c>
      <c r="N3536">
        <v>4</v>
      </c>
      <c r="O3536">
        <v>0</v>
      </c>
      <c r="P3536">
        <v>25.6</v>
      </c>
      <c r="Q3536">
        <v>0</v>
      </c>
      <c r="R3536">
        <v>0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0</v>
      </c>
      <c r="Y3536">
        <v>0</v>
      </c>
      <c r="Z3536">
        <v>0</v>
      </c>
      <c r="AA3536">
        <v>0</v>
      </c>
      <c r="AC3536">
        <v>25.6</v>
      </c>
    </row>
    <row r="3537" spans="1:29">
      <c r="A3537">
        <v>3530</v>
      </c>
      <c r="B3537">
        <v>3594</v>
      </c>
      <c r="C3537" t="s">
        <v>1694</v>
      </c>
      <c r="D3537" t="s">
        <v>276</v>
      </c>
      <c r="E3537" t="s">
        <v>369</v>
      </c>
      <c r="F3537" t="s">
        <v>7292</v>
      </c>
      <c r="G3537" t="str">
        <f>"00542018"</f>
        <v>00542018</v>
      </c>
      <c r="H3537">
        <v>21.6</v>
      </c>
      <c r="I3537">
        <v>0</v>
      </c>
      <c r="L3537">
        <v>4</v>
      </c>
      <c r="M3537">
        <v>4</v>
      </c>
      <c r="N3537">
        <v>0</v>
      </c>
      <c r="O3537">
        <v>0</v>
      </c>
      <c r="P3537">
        <v>25.6</v>
      </c>
      <c r="Q3537">
        <v>0</v>
      </c>
      <c r="R3537">
        <v>0</v>
      </c>
      <c r="S3537">
        <v>0</v>
      </c>
      <c r="T3537">
        <v>0</v>
      </c>
      <c r="U3537">
        <v>0</v>
      </c>
      <c r="V3537">
        <v>0</v>
      </c>
      <c r="W3537">
        <v>0</v>
      </c>
      <c r="X3537">
        <v>0</v>
      </c>
      <c r="Y3537">
        <v>0</v>
      </c>
      <c r="Z3537">
        <v>0</v>
      </c>
      <c r="AA3537">
        <v>0</v>
      </c>
      <c r="AC3537">
        <v>25.6</v>
      </c>
    </row>
    <row r="3538" spans="1:29">
      <c r="A3538">
        <v>3531</v>
      </c>
      <c r="B3538">
        <v>1870</v>
      </c>
      <c r="C3538" t="s">
        <v>7290</v>
      </c>
      <c r="D3538" t="s">
        <v>1426</v>
      </c>
      <c r="E3538" t="s">
        <v>15</v>
      </c>
      <c r="F3538" t="s">
        <v>7291</v>
      </c>
      <c r="G3538" t="str">
        <f>"00859732"</f>
        <v>00859732</v>
      </c>
      <c r="H3538">
        <v>21.6</v>
      </c>
      <c r="I3538">
        <v>0</v>
      </c>
      <c r="L3538">
        <v>4</v>
      </c>
      <c r="M3538">
        <v>4</v>
      </c>
      <c r="N3538">
        <v>0</v>
      </c>
      <c r="O3538">
        <v>0</v>
      </c>
      <c r="P3538">
        <v>25.6</v>
      </c>
      <c r="Q3538">
        <v>0</v>
      </c>
      <c r="R3538">
        <v>0</v>
      </c>
      <c r="S3538">
        <v>0</v>
      </c>
      <c r="T3538">
        <v>0</v>
      </c>
      <c r="U3538">
        <v>0</v>
      </c>
      <c r="V3538">
        <v>0</v>
      </c>
      <c r="W3538">
        <v>0</v>
      </c>
      <c r="X3538">
        <v>0</v>
      </c>
      <c r="Y3538">
        <v>0</v>
      </c>
      <c r="Z3538">
        <v>0</v>
      </c>
      <c r="AA3538">
        <v>0</v>
      </c>
      <c r="AC3538">
        <v>25.6</v>
      </c>
    </row>
    <row r="3539" spans="1:29">
      <c r="A3539">
        <v>3532</v>
      </c>
      <c r="B3539">
        <v>716</v>
      </c>
      <c r="C3539" t="s">
        <v>445</v>
      </c>
      <c r="D3539" t="s">
        <v>35</v>
      </c>
      <c r="E3539" t="s">
        <v>115</v>
      </c>
      <c r="F3539" t="s">
        <v>7283</v>
      </c>
      <c r="G3539" t="str">
        <f>"201011000047"</f>
        <v>201011000047</v>
      </c>
      <c r="H3539">
        <v>21.6</v>
      </c>
      <c r="I3539">
        <v>0</v>
      </c>
      <c r="M3539">
        <v>0</v>
      </c>
      <c r="N3539">
        <v>4</v>
      </c>
      <c r="O3539">
        <v>0</v>
      </c>
      <c r="P3539">
        <v>25.6</v>
      </c>
      <c r="Q3539">
        <v>0</v>
      </c>
      <c r="R3539">
        <v>0</v>
      </c>
      <c r="S3539">
        <v>0</v>
      </c>
      <c r="T3539">
        <v>0</v>
      </c>
      <c r="U3539">
        <v>0</v>
      </c>
      <c r="V3539">
        <v>0</v>
      </c>
      <c r="W3539">
        <v>0</v>
      </c>
      <c r="X3539">
        <v>0</v>
      </c>
      <c r="Y3539">
        <v>0</v>
      </c>
      <c r="Z3539">
        <v>0</v>
      </c>
      <c r="AA3539">
        <v>0</v>
      </c>
      <c r="AC3539">
        <v>25.6</v>
      </c>
    </row>
    <row r="3540" spans="1:29">
      <c r="A3540">
        <v>3533</v>
      </c>
      <c r="B3540">
        <v>4616</v>
      </c>
      <c r="C3540" t="s">
        <v>2175</v>
      </c>
      <c r="D3540" t="s">
        <v>175</v>
      </c>
      <c r="E3540" t="s">
        <v>53</v>
      </c>
      <c r="F3540" t="s">
        <v>7294</v>
      </c>
      <c r="G3540" t="str">
        <f>"00527847"</f>
        <v>00527847</v>
      </c>
      <c r="H3540">
        <v>21.6</v>
      </c>
      <c r="I3540">
        <v>0</v>
      </c>
      <c r="M3540">
        <v>0</v>
      </c>
      <c r="N3540">
        <v>4</v>
      </c>
      <c r="O3540">
        <v>0</v>
      </c>
      <c r="P3540">
        <v>25.6</v>
      </c>
      <c r="Q3540">
        <v>0</v>
      </c>
      <c r="R3540">
        <v>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0</v>
      </c>
      <c r="Y3540">
        <v>0</v>
      </c>
      <c r="Z3540">
        <v>0</v>
      </c>
      <c r="AA3540">
        <v>0</v>
      </c>
      <c r="AC3540">
        <v>25.6</v>
      </c>
    </row>
    <row r="3541" spans="1:29">
      <c r="A3541">
        <v>3534</v>
      </c>
      <c r="B3541">
        <v>1858</v>
      </c>
      <c r="C3541" t="s">
        <v>7277</v>
      </c>
      <c r="D3541" t="s">
        <v>27</v>
      </c>
      <c r="E3541" t="s">
        <v>79</v>
      </c>
      <c r="F3541" t="s">
        <v>7278</v>
      </c>
      <c r="G3541" t="str">
        <f>"00862930"</f>
        <v>00862930</v>
      </c>
      <c r="H3541">
        <v>21.6</v>
      </c>
      <c r="I3541">
        <v>0</v>
      </c>
      <c r="L3541">
        <v>4</v>
      </c>
      <c r="M3541">
        <v>4</v>
      </c>
      <c r="N3541">
        <v>0</v>
      </c>
      <c r="O3541">
        <v>0</v>
      </c>
      <c r="P3541">
        <v>25.6</v>
      </c>
      <c r="Q3541">
        <v>0</v>
      </c>
      <c r="R3541">
        <v>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0</v>
      </c>
      <c r="Y3541">
        <v>0</v>
      </c>
      <c r="Z3541">
        <v>0</v>
      </c>
      <c r="AA3541">
        <v>0</v>
      </c>
      <c r="AC3541">
        <v>25.6</v>
      </c>
    </row>
    <row r="3542" spans="1:29">
      <c r="A3542">
        <v>3535</v>
      </c>
      <c r="B3542">
        <v>3071</v>
      </c>
      <c r="C3542" t="s">
        <v>3242</v>
      </c>
      <c r="D3542" t="s">
        <v>130</v>
      </c>
      <c r="E3542" t="s">
        <v>922</v>
      </c>
      <c r="F3542" t="s">
        <v>7293</v>
      </c>
      <c r="G3542" t="str">
        <f>"00864812"</f>
        <v>00864812</v>
      </c>
      <c r="H3542">
        <v>21.6</v>
      </c>
      <c r="I3542">
        <v>0</v>
      </c>
      <c r="M3542">
        <v>0</v>
      </c>
      <c r="N3542">
        <v>4</v>
      </c>
      <c r="O3542">
        <v>0</v>
      </c>
      <c r="P3542">
        <v>25.6</v>
      </c>
      <c r="Q3542">
        <v>0</v>
      </c>
      <c r="R3542">
        <v>0</v>
      </c>
      <c r="S3542">
        <v>0</v>
      </c>
      <c r="T3542">
        <v>0</v>
      </c>
      <c r="U3542">
        <v>0</v>
      </c>
      <c r="V3542">
        <v>0</v>
      </c>
      <c r="W3542">
        <v>0</v>
      </c>
      <c r="X3542">
        <v>0</v>
      </c>
      <c r="Y3542">
        <v>0</v>
      </c>
      <c r="Z3542">
        <v>0</v>
      </c>
      <c r="AA3542">
        <v>0</v>
      </c>
      <c r="AC3542">
        <v>25.6</v>
      </c>
    </row>
    <row r="3543" spans="1:29">
      <c r="A3543">
        <v>3536</v>
      </c>
      <c r="B3543">
        <v>151</v>
      </c>
      <c r="C3543" t="s">
        <v>7284</v>
      </c>
      <c r="D3543" t="s">
        <v>407</v>
      </c>
      <c r="E3543" t="s">
        <v>36</v>
      </c>
      <c r="F3543" t="s">
        <v>7285</v>
      </c>
      <c r="G3543" t="str">
        <f>"00858814"</f>
        <v>00858814</v>
      </c>
      <c r="H3543">
        <v>21.6</v>
      </c>
      <c r="I3543">
        <v>0</v>
      </c>
      <c r="M3543">
        <v>0</v>
      </c>
      <c r="N3543">
        <v>4</v>
      </c>
      <c r="O3543">
        <v>0</v>
      </c>
      <c r="P3543">
        <v>25.6</v>
      </c>
      <c r="Q3543">
        <v>0</v>
      </c>
      <c r="R3543">
        <v>0</v>
      </c>
      <c r="S3543">
        <v>0</v>
      </c>
      <c r="T3543">
        <v>0</v>
      </c>
      <c r="U3543">
        <v>0</v>
      </c>
      <c r="V3543">
        <v>0</v>
      </c>
      <c r="W3543">
        <v>0</v>
      </c>
      <c r="X3543">
        <v>0</v>
      </c>
      <c r="Y3543">
        <v>0</v>
      </c>
      <c r="Z3543">
        <v>0</v>
      </c>
      <c r="AA3543">
        <v>0</v>
      </c>
      <c r="AC3543">
        <v>25.6</v>
      </c>
    </row>
    <row r="3544" spans="1:29">
      <c r="A3544">
        <v>3537</v>
      </c>
      <c r="B3544">
        <v>4014</v>
      </c>
      <c r="C3544" t="s">
        <v>2077</v>
      </c>
      <c r="D3544" t="s">
        <v>248</v>
      </c>
      <c r="E3544" t="s">
        <v>227</v>
      </c>
      <c r="F3544" t="s">
        <v>7276</v>
      </c>
      <c r="G3544" t="str">
        <f>"00778700"</f>
        <v>00778700</v>
      </c>
      <c r="H3544">
        <v>21.6</v>
      </c>
      <c r="I3544">
        <v>0</v>
      </c>
      <c r="M3544">
        <v>0</v>
      </c>
      <c r="N3544">
        <v>4</v>
      </c>
      <c r="O3544">
        <v>0</v>
      </c>
      <c r="P3544">
        <v>25.6</v>
      </c>
      <c r="Q3544">
        <v>0</v>
      </c>
      <c r="R3544">
        <v>0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0</v>
      </c>
      <c r="Y3544">
        <v>0</v>
      </c>
      <c r="Z3544">
        <v>0</v>
      </c>
      <c r="AA3544">
        <v>0</v>
      </c>
      <c r="AC3544">
        <v>25.6</v>
      </c>
    </row>
    <row r="3545" spans="1:29">
      <c r="A3545">
        <v>3538</v>
      </c>
      <c r="B3545">
        <v>1686</v>
      </c>
      <c r="C3545" t="s">
        <v>7295</v>
      </c>
      <c r="D3545" t="s">
        <v>137</v>
      </c>
      <c r="E3545" t="s">
        <v>28</v>
      </c>
      <c r="F3545" t="s">
        <v>7296</v>
      </c>
      <c r="G3545" t="str">
        <f>"00346726"</f>
        <v>00346726</v>
      </c>
      <c r="H3545">
        <v>25.52</v>
      </c>
      <c r="I3545">
        <v>0</v>
      </c>
      <c r="M3545">
        <v>0</v>
      </c>
      <c r="N3545">
        <v>0</v>
      </c>
      <c r="O3545">
        <v>0</v>
      </c>
      <c r="P3545">
        <v>25.52</v>
      </c>
      <c r="Q3545">
        <v>0</v>
      </c>
      <c r="R3545">
        <v>0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0</v>
      </c>
      <c r="Y3545">
        <v>0</v>
      </c>
      <c r="Z3545">
        <v>0</v>
      </c>
      <c r="AA3545">
        <v>0</v>
      </c>
      <c r="AC3545">
        <v>25.52</v>
      </c>
    </row>
    <row r="3546" spans="1:29">
      <c r="A3546">
        <v>3539</v>
      </c>
      <c r="B3546">
        <v>4345</v>
      </c>
      <c r="C3546" t="s">
        <v>7149</v>
      </c>
      <c r="D3546" t="s">
        <v>27</v>
      </c>
      <c r="E3546" t="s">
        <v>15</v>
      </c>
      <c r="F3546" t="s">
        <v>7297</v>
      </c>
      <c r="G3546" t="str">
        <f>"00562042"</f>
        <v>00562042</v>
      </c>
      <c r="H3546">
        <v>14.4</v>
      </c>
      <c r="I3546">
        <v>0</v>
      </c>
      <c r="L3546">
        <v>4</v>
      </c>
      <c r="M3546">
        <v>4</v>
      </c>
      <c r="N3546">
        <v>4</v>
      </c>
      <c r="O3546">
        <v>0</v>
      </c>
      <c r="P3546">
        <v>22.4</v>
      </c>
      <c r="Q3546">
        <v>0</v>
      </c>
      <c r="R3546">
        <v>0</v>
      </c>
      <c r="S3546">
        <v>0</v>
      </c>
      <c r="T3546">
        <v>0</v>
      </c>
      <c r="U3546">
        <v>0</v>
      </c>
      <c r="V3546">
        <v>0</v>
      </c>
      <c r="W3546">
        <v>0</v>
      </c>
      <c r="X3546">
        <v>0</v>
      </c>
      <c r="Y3546">
        <v>0</v>
      </c>
      <c r="Z3546">
        <v>3</v>
      </c>
      <c r="AA3546">
        <v>0</v>
      </c>
      <c r="AC3546">
        <v>25.4</v>
      </c>
    </row>
    <row r="3547" spans="1:29">
      <c r="A3547">
        <v>3540</v>
      </c>
      <c r="B3547">
        <v>1343</v>
      </c>
      <c r="C3547" t="s">
        <v>7298</v>
      </c>
      <c r="D3547" t="s">
        <v>544</v>
      </c>
      <c r="E3547" t="s">
        <v>60</v>
      </c>
      <c r="F3547" t="s">
        <v>7299</v>
      </c>
      <c r="G3547" t="str">
        <f>"00442390"</f>
        <v>00442390</v>
      </c>
      <c r="H3547">
        <v>14.4</v>
      </c>
      <c r="I3547">
        <v>0</v>
      </c>
      <c r="L3547">
        <v>4</v>
      </c>
      <c r="M3547">
        <v>4</v>
      </c>
      <c r="N3547">
        <v>0</v>
      </c>
      <c r="O3547">
        <v>2</v>
      </c>
      <c r="P3547">
        <v>20.399999999999999</v>
      </c>
      <c r="Q3547">
        <v>5</v>
      </c>
      <c r="R3547">
        <v>5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0</v>
      </c>
      <c r="Y3547">
        <v>5</v>
      </c>
      <c r="Z3547">
        <v>0</v>
      </c>
      <c r="AA3547">
        <v>0</v>
      </c>
      <c r="AC3547">
        <v>25.4</v>
      </c>
    </row>
    <row r="3548" spans="1:29">
      <c r="A3548">
        <v>3541</v>
      </c>
      <c r="B3548">
        <v>2750</v>
      </c>
      <c r="C3548" t="s">
        <v>287</v>
      </c>
      <c r="D3548" t="s">
        <v>95</v>
      </c>
      <c r="E3548" t="s">
        <v>5644</v>
      </c>
      <c r="F3548" t="s">
        <v>7300</v>
      </c>
      <c r="G3548" t="str">
        <f>"00201638"</f>
        <v>00201638</v>
      </c>
      <c r="H3548">
        <v>7.2</v>
      </c>
      <c r="I3548">
        <v>0</v>
      </c>
      <c r="L3548">
        <v>8</v>
      </c>
      <c r="M3548">
        <v>8</v>
      </c>
      <c r="N3548">
        <v>4</v>
      </c>
      <c r="O3548">
        <v>0</v>
      </c>
      <c r="P3548">
        <v>19.2</v>
      </c>
      <c r="Q3548">
        <v>0</v>
      </c>
      <c r="R3548">
        <v>0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0</v>
      </c>
      <c r="Y3548">
        <v>0</v>
      </c>
      <c r="Z3548">
        <v>6</v>
      </c>
      <c r="AA3548">
        <v>0</v>
      </c>
      <c r="AC3548">
        <v>25.2</v>
      </c>
    </row>
    <row r="3549" spans="1:29">
      <c r="A3549">
        <v>3542</v>
      </c>
      <c r="B3549">
        <v>226</v>
      </c>
      <c r="C3549" t="s">
        <v>3402</v>
      </c>
      <c r="D3549" t="s">
        <v>164</v>
      </c>
      <c r="E3549" t="s">
        <v>36</v>
      </c>
      <c r="F3549" t="s">
        <v>7301</v>
      </c>
      <c r="G3549" t="str">
        <f>"00858900"</f>
        <v>00858900</v>
      </c>
      <c r="H3549">
        <v>25.2</v>
      </c>
      <c r="I3549">
        <v>0</v>
      </c>
      <c r="M3549">
        <v>0</v>
      </c>
      <c r="N3549">
        <v>0</v>
      </c>
      <c r="O3549">
        <v>0</v>
      </c>
      <c r="P3549">
        <v>25.2</v>
      </c>
      <c r="Q3549">
        <v>0</v>
      </c>
      <c r="R3549">
        <v>0</v>
      </c>
      <c r="S3549">
        <v>0</v>
      </c>
      <c r="T3549">
        <v>0</v>
      </c>
      <c r="U3549">
        <v>0</v>
      </c>
      <c r="V3549">
        <v>0</v>
      </c>
      <c r="W3549">
        <v>0</v>
      </c>
      <c r="X3549">
        <v>0</v>
      </c>
      <c r="Y3549">
        <v>0</v>
      </c>
      <c r="Z3549">
        <v>0</v>
      </c>
      <c r="AA3549">
        <v>0</v>
      </c>
      <c r="AC3549">
        <v>25.2</v>
      </c>
    </row>
    <row r="3550" spans="1:29">
      <c r="A3550">
        <v>3543</v>
      </c>
      <c r="B3550">
        <v>2199</v>
      </c>
      <c r="C3550" t="s">
        <v>7302</v>
      </c>
      <c r="D3550" t="s">
        <v>164</v>
      </c>
      <c r="E3550" t="s">
        <v>79</v>
      </c>
      <c r="F3550" t="s">
        <v>7303</v>
      </c>
      <c r="G3550" t="str">
        <f>"00864020"</f>
        <v>00864020</v>
      </c>
      <c r="H3550">
        <v>25.2</v>
      </c>
      <c r="I3550">
        <v>0</v>
      </c>
      <c r="M3550">
        <v>0</v>
      </c>
      <c r="N3550">
        <v>0</v>
      </c>
      <c r="O3550">
        <v>0</v>
      </c>
      <c r="P3550">
        <v>25.2</v>
      </c>
      <c r="Q3550">
        <v>0</v>
      </c>
      <c r="R3550">
        <v>0</v>
      </c>
      <c r="S3550">
        <v>0</v>
      </c>
      <c r="T3550">
        <v>0</v>
      </c>
      <c r="U3550">
        <v>0</v>
      </c>
      <c r="V3550">
        <v>0</v>
      </c>
      <c r="W3550">
        <v>0</v>
      </c>
      <c r="X3550">
        <v>0</v>
      </c>
      <c r="Y3550">
        <v>0</v>
      </c>
      <c r="Z3550">
        <v>0</v>
      </c>
      <c r="AA3550">
        <v>0</v>
      </c>
      <c r="AC3550">
        <v>25.2</v>
      </c>
    </row>
    <row r="3551" spans="1:29">
      <c r="A3551">
        <v>3544</v>
      </c>
      <c r="B3551">
        <v>146</v>
      </c>
      <c r="C3551" t="s">
        <v>7304</v>
      </c>
      <c r="D3551" t="s">
        <v>137</v>
      </c>
      <c r="E3551" t="s">
        <v>66</v>
      </c>
      <c r="F3551" t="s">
        <v>7305</v>
      </c>
      <c r="G3551" t="str">
        <f>"00532444"</f>
        <v>00532444</v>
      </c>
      <c r="H3551">
        <v>19.2</v>
      </c>
      <c r="I3551">
        <v>0</v>
      </c>
      <c r="M3551">
        <v>0</v>
      </c>
      <c r="N3551">
        <v>0</v>
      </c>
      <c r="O3551">
        <v>0</v>
      </c>
      <c r="P3551">
        <v>19.2</v>
      </c>
      <c r="Q3551">
        <v>6</v>
      </c>
      <c r="R3551">
        <v>6</v>
      </c>
      <c r="S3551">
        <v>0</v>
      </c>
      <c r="T3551">
        <v>0</v>
      </c>
      <c r="U3551">
        <v>0</v>
      </c>
      <c r="V3551">
        <v>0</v>
      </c>
      <c r="W3551">
        <v>0</v>
      </c>
      <c r="X3551">
        <v>0</v>
      </c>
      <c r="Y3551">
        <v>6</v>
      </c>
      <c r="Z3551">
        <v>0</v>
      </c>
      <c r="AA3551">
        <v>0</v>
      </c>
      <c r="AC3551">
        <v>25.2</v>
      </c>
    </row>
    <row r="3552" spans="1:29">
      <c r="A3552">
        <v>3545</v>
      </c>
      <c r="B3552">
        <v>272</v>
      </c>
      <c r="C3552" t="s">
        <v>7306</v>
      </c>
      <c r="D3552" t="s">
        <v>20</v>
      </c>
      <c r="E3552" t="s">
        <v>36</v>
      </c>
      <c r="F3552" t="s">
        <v>7307</v>
      </c>
      <c r="G3552" t="str">
        <f>"00857976"</f>
        <v>00857976</v>
      </c>
      <c r="H3552">
        <v>7.2</v>
      </c>
      <c r="I3552">
        <v>0</v>
      </c>
      <c r="M3552">
        <v>0</v>
      </c>
      <c r="N3552">
        <v>0</v>
      </c>
      <c r="O3552">
        <v>0</v>
      </c>
      <c r="P3552">
        <v>7.2</v>
      </c>
      <c r="Q3552">
        <v>18</v>
      </c>
      <c r="R3552">
        <v>18</v>
      </c>
      <c r="S3552">
        <v>0</v>
      </c>
      <c r="T3552">
        <v>0</v>
      </c>
      <c r="U3552">
        <v>0</v>
      </c>
      <c r="V3552">
        <v>0</v>
      </c>
      <c r="W3552">
        <v>0</v>
      </c>
      <c r="X3552">
        <v>0</v>
      </c>
      <c r="Y3552">
        <v>18</v>
      </c>
      <c r="Z3552">
        <v>0</v>
      </c>
      <c r="AA3552">
        <v>0</v>
      </c>
      <c r="AC3552">
        <v>25.2</v>
      </c>
    </row>
    <row r="3553" spans="1:29">
      <c r="A3553">
        <v>3546</v>
      </c>
      <c r="B3553">
        <v>3277</v>
      </c>
      <c r="C3553" t="s">
        <v>7308</v>
      </c>
      <c r="D3553" t="s">
        <v>27</v>
      </c>
      <c r="E3553" t="s">
        <v>337</v>
      </c>
      <c r="F3553" t="s">
        <v>7309</v>
      </c>
      <c r="G3553" t="str">
        <f>"00864549"</f>
        <v>00864549</v>
      </c>
      <c r="H3553">
        <v>22.16</v>
      </c>
      <c r="I3553">
        <v>0</v>
      </c>
      <c r="M3553">
        <v>0</v>
      </c>
      <c r="N3553">
        <v>0</v>
      </c>
      <c r="O3553">
        <v>0</v>
      </c>
      <c r="P3553">
        <v>22.16</v>
      </c>
      <c r="Q3553">
        <v>0</v>
      </c>
      <c r="R3553">
        <v>0</v>
      </c>
      <c r="S3553">
        <v>0</v>
      </c>
      <c r="T3553">
        <v>0</v>
      </c>
      <c r="U3553">
        <v>0</v>
      </c>
      <c r="V3553">
        <v>0</v>
      </c>
      <c r="W3553">
        <v>0</v>
      </c>
      <c r="X3553">
        <v>0</v>
      </c>
      <c r="Y3553">
        <v>0</v>
      </c>
      <c r="Z3553">
        <v>3</v>
      </c>
      <c r="AA3553">
        <v>0</v>
      </c>
      <c r="AC3553">
        <v>25.16</v>
      </c>
    </row>
    <row r="3554" spans="1:29">
      <c r="A3554">
        <v>3547</v>
      </c>
      <c r="B3554">
        <v>314</v>
      </c>
      <c r="C3554" t="s">
        <v>7310</v>
      </c>
      <c r="D3554" t="s">
        <v>3960</v>
      </c>
      <c r="E3554" t="s">
        <v>237</v>
      </c>
      <c r="F3554" t="s">
        <v>7311</v>
      </c>
      <c r="G3554" t="str">
        <f>"00857825"</f>
        <v>00857825</v>
      </c>
      <c r="H3554">
        <v>21.08</v>
      </c>
      <c r="I3554">
        <v>0</v>
      </c>
      <c r="M3554">
        <v>0</v>
      </c>
      <c r="N3554">
        <v>4</v>
      </c>
      <c r="O3554">
        <v>0</v>
      </c>
      <c r="P3554">
        <v>25.08</v>
      </c>
      <c r="Q3554">
        <v>0</v>
      </c>
      <c r="R3554">
        <v>0</v>
      </c>
      <c r="S3554">
        <v>0</v>
      </c>
      <c r="T3554">
        <v>0</v>
      </c>
      <c r="U3554">
        <v>0</v>
      </c>
      <c r="V3554">
        <v>0</v>
      </c>
      <c r="W3554">
        <v>0</v>
      </c>
      <c r="X3554">
        <v>0</v>
      </c>
      <c r="Y3554">
        <v>0</v>
      </c>
      <c r="Z3554">
        <v>0</v>
      </c>
      <c r="AA3554">
        <v>0</v>
      </c>
      <c r="AC3554">
        <v>25.08</v>
      </c>
    </row>
    <row r="3555" spans="1:29">
      <c r="A3555">
        <v>3548</v>
      </c>
      <c r="B3555">
        <v>2896</v>
      </c>
      <c r="C3555" t="s">
        <v>7313</v>
      </c>
      <c r="D3555" t="s">
        <v>159</v>
      </c>
      <c r="E3555" t="s">
        <v>436</v>
      </c>
      <c r="F3555" t="s">
        <v>7314</v>
      </c>
      <c r="G3555" t="str">
        <f>"00510976"</f>
        <v>00510976</v>
      </c>
      <c r="H3555">
        <v>0</v>
      </c>
      <c r="I3555">
        <v>0</v>
      </c>
      <c r="L3555">
        <v>4</v>
      </c>
      <c r="M3555">
        <v>4</v>
      </c>
      <c r="N3555">
        <v>4</v>
      </c>
      <c r="O3555">
        <v>0</v>
      </c>
      <c r="P3555">
        <v>8</v>
      </c>
      <c r="Q3555">
        <v>11</v>
      </c>
      <c r="R3555">
        <v>11</v>
      </c>
      <c r="S3555">
        <v>0</v>
      </c>
      <c r="T3555">
        <v>0</v>
      </c>
      <c r="U3555">
        <v>0</v>
      </c>
      <c r="V3555">
        <v>0</v>
      </c>
      <c r="W3555">
        <v>0</v>
      </c>
      <c r="X3555">
        <v>0</v>
      </c>
      <c r="Y3555">
        <v>11</v>
      </c>
      <c r="Z3555">
        <v>6</v>
      </c>
      <c r="AA3555">
        <v>0</v>
      </c>
      <c r="AC3555">
        <v>25</v>
      </c>
    </row>
    <row r="3556" spans="1:29">
      <c r="A3556">
        <v>3549</v>
      </c>
      <c r="B3556">
        <v>4192</v>
      </c>
      <c r="C3556" t="s">
        <v>7056</v>
      </c>
      <c r="D3556" t="s">
        <v>175</v>
      </c>
      <c r="E3556" t="s">
        <v>15</v>
      </c>
      <c r="F3556" t="s">
        <v>7312</v>
      </c>
      <c r="G3556" t="str">
        <f>"00523668"</f>
        <v>00523668</v>
      </c>
      <c r="H3556">
        <v>0</v>
      </c>
      <c r="I3556">
        <v>0</v>
      </c>
      <c r="L3556">
        <v>4</v>
      </c>
      <c r="M3556">
        <v>4</v>
      </c>
      <c r="N3556">
        <v>4</v>
      </c>
      <c r="O3556">
        <v>0</v>
      </c>
      <c r="P3556">
        <v>8</v>
      </c>
      <c r="Q3556">
        <v>11</v>
      </c>
      <c r="R3556">
        <v>11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0</v>
      </c>
      <c r="Y3556">
        <v>11</v>
      </c>
      <c r="Z3556">
        <v>6</v>
      </c>
      <c r="AA3556">
        <v>0</v>
      </c>
      <c r="AC3556">
        <v>25</v>
      </c>
    </row>
    <row r="3557" spans="1:29">
      <c r="A3557">
        <v>3550</v>
      </c>
      <c r="B3557">
        <v>596</v>
      </c>
      <c r="C3557" t="s">
        <v>7315</v>
      </c>
      <c r="D3557" t="s">
        <v>159</v>
      </c>
      <c r="E3557" t="s">
        <v>889</v>
      </c>
      <c r="F3557" t="s">
        <v>7316</v>
      </c>
      <c r="G3557" t="str">
        <f>"00531859"</f>
        <v>00531859</v>
      </c>
      <c r="H3557">
        <v>0</v>
      </c>
      <c r="I3557">
        <v>0</v>
      </c>
      <c r="J3557">
        <v>8</v>
      </c>
      <c r="M3557">
        <v>8</v>
      </c>
      <c r="N3557">
        <v>4</v>
      </c>
      <c r="O3557">
        <v>2</v>
      </c>
      <c r="P3557">
        <v>14</v>
      </c>
      <c r="Q3557">
        <v>11</v>
      </c>
      <c r="R3557">
        <v>11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0</v>
      </c>
      <c r="Y3557">
        <v>11</v>
      </c>
      <c r="Z3557">
        <v>0</v>
      </c>
      <c r="AA3557">
        <v>0</v>
      </c>
      <c r="AC3557">
        <v>25</v>
      </c>
    </row>
    <row r="3558" spans="1:29">
      <c r="A3558">
        <v>3551</v>
      </c>
      <c r="B3558">
        <v>232</v>
      </c>
      <c r="C3558" t="s">
        <v>7317</v>
      </c>
      <c r="D3558" t="s">
        <v>733</v>
      </c>
      <c r="E3558" t="s">
        <v>28</v>
      </c>
      <c r="F3558" t="s">
        <v>7318</v>
      </c>
      <c r="G3558" t="str">
        <f>"00531031"</f>
        <v>00531031</v>
      </c>
      <c r="H3558">
        <v>24.88</v>
      </c>
      <c r="I3558">
        <v>0</v>
      </c>
      <c r="M3558">
        <v>0</v>
      </c>
      <c r="N3558">
        <v>0</v>
      </c>
      <c r="O3558">
        <v>0</v>
      </c>
      <c r="P3558">
        <v>24.88</v>
      </c>
      <c r="Q3558">
        <v>0</v>
      </c>
      <c r="R3558">
        <v>0</v>
      </c>
      <c r="S3558">
        <v>0</v>
      </c>
      <c r="T3558">
        <v>0</v>
      </c>
      <c r="U3558">
        <v>0</v>
      </c>
      <c r="V3558">
        <v>0</v>
      </c>
      <c r="W3558">
        <v>0</v>
      </c>
      <c r="X3558">
        <v>0</v>
      </c>
      <c r="Y3558">
        <v>0</v>
      </c>
      <c r="Z3558">
        <v>0</v>
      </c>
      <c r="AA3558">
        <v>0</v>
      </c>
      <c r="AC3558">
        <v>24.88</v>
      </c>
    </row>
    <row r="3559" spans="1:29">
      <c r="A3559">
        <v>3552</v>
      </c>
      <c r="B3559">
        <v>4233</v>
      </c>
      <c r="C3559" t="s">
        <v>5852</v>
      </c>
      <c r="D3559" t="s">
        <v>147</v>
      </c>
      <c r="E3559" t="s">
        <v>60</v>
      </c>
      <c r="F3559" t="s">
        <v>7319</v>
      </c>
      <c r="G3559" t="str">
        <f>"00523182"</f>
        <v>00523182</v>
      </c>
      <c r="H3559">
        <v>24.8</v>
      </c>
      <c r="I3559">
        <v>0</v>
      </c>
      <c r="M3559">
        <v>0</v>
      </c>
      <c r="N3559">
        <v>0</v>
      </c>
      <c r="O3559">
        <v>0</v>
      </c>
      <c r="P3559">
        <v>24.8</v>
      </c>
      <c r="Q3559">
        <v>0</v>
      </c>
      <c r="R3559">
        <v>0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0</v>
      </c>
      <c r="Y3559">
        <v>0</v>
      </c>
      <c r="Z3559">
        <v>0</v>
      </c>
      <c r="AA3559">
        <v>0</v>
      </c>
      <c r="AC3559">
        <v>24.8</v>
      </c>
    </row>
    <row r="3560" spans="1:29">
      <c r="A3560">
        <v>3553</v>
      </c>
      <c r="B3560">
        <v>2868</v>
      </c>
      <c r="C3560" t="s">
        <v>2561</v>
      </c>
      <c r="D3560" t="s">
        <v>5108</v>
      </c>
      <c r="E3560" t="s">
        <v>66</v>
      </c>
      <c r="F3560" t="s">
        <v>7320</v>
      </c>
      <c r="G3560" t="str">
        <f>"00764822"</f>
        <v>00764822</v>
      </c>
      <c r="H3560">
        <v>22.8</v>
      </c>
      <c r="I3560">
        <v>0</v>
      </c>
      <c r="M3560">
        <v>0</v>
      </c>
      <c r="N3560">
        <v>0</v>
      </c>
      <c r="O3560">
        <v>2</v>
      </c>
      <c r="P3560">
        <v>24.8</v>
      </c>
      <c r="Q3560">
        <v>0</v>
      </c>
      <c r="R3560">
        <v>0</v>
      </c>
      <c r="S3560">
        <v>0</v>
      </c>
      <c r="T3560">
        <v>0</v>
      </c>
      <c r="U3560">
        <v>0</v>
      </c>
      <c r="V3560">
        <v>0</v>
      </c>
      <c r="W3560">
        <v>0</v>
      </c>
      <c r="X3560">
        <v>0</v>
      </c>
      <c r="Y3560">
        <v>0</v>
      </c>
      <c r="Z3560">
        <v>0</v>
      </c>
      <c r="AA3560">
        <v>0</v>
      </c>
      <c r="AC3560">
        <v>24.8</v>
      </c>
    </row>
    <row r="3561" spans="1:29">
      <c r="A3561">
        <v>3554</v>
      </c>
      <c r="B3561">
        <v>4197</v>
      </c>
      <c r="C3561" t="s">
        <v>7321</v>
      </c>
      <c r="D3561" t="s">
        <v>465</v>
      </c>
      <c r="E3561" t="s">
        <v>165</v>
      </c>
      <c r="F3561" t="s">
        <v>7322</v>
      </c>
      <c r="G3561" t="str">
        <f>"00864557"</f>
        <v>00864557</v>
      </c>
      <c r="H3561">
        <v>20.8</v>
      </c>
      <c r="I3561">
        <v>0</v>
      </c>
      <c r="M3561">
        <v>0</v>
      </c>
      <c r="N3561">
        <v>4</v>
      </c>
      <c r="O3561">
        <v>0</v>
      </c>
      <c r="P3561">
        <v>24.8</v>
      </c>
      <c r="Q3561">
        <v>0</v>
      </c>
      <c r="R3561">
        <v>0</v>
      </c>
      <c r="S3561">
        <v>0</v>
      </c>
      <c r="T3561">
        <v>0</v>
      </c>
      <c r="U3561">
        <v>0</v>
      </c>
      <c r="V3561">
        <v>0</v>
      </c>
      <c r="W3561">
        <v>0</v>
      </c>
      <c r="X3561">
        <v>0</v>
      </c>
      <c r="Y3561">
        <v>0</v>
      </c>
      <c r="Z3561">
        <v>0</v>
      </c>
      <c r="AA3561">
        <v>0</v>
      </c>
      <c r="AC3561">
        <v>24.8</v>
      </c>
    </row>
    <row r="3562" spans="1:29">
      <c r="A3562">
        <v>3555</v>
      </c>
      <c r="B3562">
        <v>2468</v>
      </c>
      <c r="C3562" t="s">
        <v>7323</v>
      </c>
      <c r="D3562" t="s">
        <v>465</v>
      </c>
      <c r="E3562" t="s">
        <v>36</v>
      </c>
      <c r="F3562" t="s">
        <v>7324</v>
      </c>
      <c r="G3562" t="str">
        <f>"00858602"</f>
        <v>00858602</v>
      </c>
      <c r="H3562">
        <v>24.72</v>
      </c>
      <c r="I3562">
        <v>0</v>
      </c>
      <c r="M3562">
        <v>0</v>
      </c>
      <c r="N3562">
        <v>0</v>
      </c>
      <c r="O3562">
        <v>0</v>
      </c>
      <c r="P3562">
        <v>24.72</v>
      </c>
      <c r="Q3562">
        <v>0</v>
      </c>
      <c r="R3562">
        <v>0</v>
      </c>
      <c r="S3562">
        <v>0</v>
      </c>
      <c r="T3562">
        <v>0</v>
      </c>
      <c r="U3562">
        <v>0</v>
      </c>
      <c r="V3562">
        <v>0</v>
      </c>
      <c r="W3562">
        <v>0</v>
      </c>
      <c r="X3562">
        <v>0</v>
      </c>
      <c r="Y3562">
        <v>0</v>
      </c>
      <c r="Z3562">
        <v>0</v>
      </c>
      <c r="AA3562">
        <v>0</v>
      </c>
      <c r="AC3562">
        <v>24.72</v>
      </c>
    </row>
    <row r="3563" spans="1:29">
      <c r="A3563">
        <v>3556</v>
      </c>
      <c r="B3563">
        <v>4286</v>
      </c>
      <c r="C3563" t="s">
        <v>7325</v>
      </c>
      <c r="D3563" t="s">
        <v>86</v>
      </c>
      <c r="E3563" t="s">
        <v>36</v>
      </c>
      <c r="F3563" t="s">
        <v>7326</v>
      </c>
      <c r="G3563" t="str">
        <f>"00532676"</f>
        <v>00532676</v>
      </c>
      <c r="H3563">
        <v>7.2</v>
      </c>
      <c r="I3563">
        <v>0</v>
      </c>
      <c r="M3563">
        <v>0</v>
      </c>
      <c r="N3563">
        <v>4</v>
      </c>
      <c r="O3563">
        <v>2</v>
      </c>
      <c r="P3563">
        <v>13.2</v>
      </c>
      <c r="Q3563">
        <v>4</v>
      </c>
      <c r="R3563">
        <v>4</v>
      </c>
      <c r="S3563">
        <v>0</v>
      </c>
      <c r="T3563">
        <v>0</v>
      </c>
      <c r="U3563">
        <v>5</v>
      </c>
      <c r="V3563">
        <v>7.5</v>
      </c>
      <c r="W3563">
        <v>0</v>
      </c>
      <c r="X3563">
        <v>0</v>
      </c>
      <c r="Y3563">
        <v>11.5</v>
      </c>
      <c r="Z3563">
        <v>0</v>
      </c>
      <c r="AA3563">
        <v>0</v>
      </c>
      <c r="AC3563">
        <v>24.7</v>
      </c>
    </row>
    <row r="3564" spans="1:29">
      <c r="A3564">
        <v>3557</v>
      </c>
      <c r="B3564">
        <v>4612</v>
      </c>
      <c r="C3564" t="s">
        <v>7327</v>
      </c>
      <c r="D3564" t="s">
        <v>784</v>
      </c>
      <c r="E3564" t="s">
        <v>7328</v>
      </c>
      <c r="F3564" t="s">
        <v>7329</v>
      </c>
      <c r="G3564" t="str">
        <f>"00544411"</f>
        <v>00544411</v>
      </c>
      <c r="H3564">
        <v>7.64</v>
      </c>
      <c r="I3564">
        <v>0</v>
      </c>
      <c r="J3564">
        <v>8</v>
      </c>
      <c r="M3564">
        <v>8</v>
      </c>
      <c r="N3564">
        <v>4</v>
      </c>
      <c r="O3564">
        <v>2</v>
      </c>
      <c r="P3564">
        <v>21.64</v>
      </c>
      <c r="Q3564">
        <v>0</v>
      </c>
      <c r="R3564">
        <v>0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0</v>
      </c>
      <c r="Y3564">
        <v>0</v>
      </c>
      <c r="Z3564">
        <v>3</v>
      </c>
      <c r="AA3564">
        <v>0</v>
      </c>
      <c r="AC3564">
        <v>24.64</v>
      </c>
    </row>
    <row r="3565" spans="1:29">
      <c r="A3565">
        <v>3558</v>
      </c>
      <c r="B3565">
        <v>4130</v>
      </c>
      <c r="C3565" t="s">
        <v>3676</v>
      </c>
      <c r="D3565" t="s">
        <v>98</v>
      </c>
      <c r="E3565" t="s">
        <v>50</v>
      </c>
      <c r="F3565" t="s">
        <v>7330</v>
      </c>
      <c r="G3565" t="str">
        <f>"00531233"</f>
        <v>00531233</v>
      </c>
      <c r="H3565">
        <v>21.6</v>
      </c>
      <c r="I3565">
        <v>0</v>
      </c>
      <c r="M3565">
        <v>0</v>
      </c>
      <c r="N3565">
        <v>0</v>
      </c>
      <c r="O3565">
        <v>0</v>
      </c>
      <c r="P3565">
        <v>21.6</v>
      </c>
      <c r="Q3565">
        <v>0</v>
      </c>
      <c r="R3565">
        <v>0</v>
      </c>
      <c r="S3565">
        <v>0</v>
      </c>
      <c r="T3565">
        <v>0</v>
      </c>
      <c r="U3565">
        <v>0</v>
      </c>
      <c r="V3565">
        <v>0</v>
      </c>
      <c r="W3565">
        <v>0</v>
      </c>
      <c r="X3565">
        <v>0</v>
      </c>
      <c r="Y3565">
        <v>0</v>
      </c>
      <c r="Z3565">
        <v>3</v>
      </c>
      <c r="AA3565">
        <v>0</v>
      </c>
      <c r="AC3565">
        <v>24.6</v>
      </c>
    </row>
    <row r="3566" spans="1:29">
      <c r="A3566">
        <v>3559</v>
      </c>
      <c r="B3566">
        <v>3909</v>
      </c>
      <c r="C3566" t="s">
        <v>7331</v>
      </c>
      <c r="D3566" t="s">
        <v>27</v>
      </c>
      <c r="E3566" t="s">
        <v>56</v>
      </c>
      <c r="F3566" t="s">
        <v>7332</v>
      </c>
      <c r="G3566" t="str">
        <f>"00805856"</f>
        <v>00805856</v>
      </c>
      <c r="H3566">
        <v>21.6</v>
      </c>
      <c r="I3566">
        <v>0</v>
      </c>
      <c r="M3566">
        <v>0</v>
      </c>
      <c r="N3566">
        <v>0</v>
      </c>
      <c r="O3566">
        <v>0</v>
      </c>
      <c r="P3566">
        <v>21.6</v>
      </c>
      <c r="Q3566">
        <v>0</v>
      </c>
      <c r="R3566">
        <v>0</v>
      </c>
      <c r="S3566">
        <v>0</v>
      </c>
      <c r="T3566">
        <v>0</v>
      </c>
      <c r="U3566">
        <v>0</v>
      </c>
      <c r="V3566">
        <v>0</v>
      </c>
      <c r="W3566">
        <v>0</v>
      </c>
      <c r="X3566">
        <v>0</v>
      </c>
      <c r="Y3566">
        <v>0</v>
      </c>
      <c r="Z3566">
        <v>3</v>
      </c>
      <c r="AA3566">
        <v>0</v>
      </c>
      <c r="AC3566">
        <v>24.6</v>
      </c>
    </row>
    <row r="3567" spans="1:29">
      <c r="A3567">
        <v>3560</v>
      </c>
      <c r="B3567">
        <v>3825</v>
      </c>
      <c r="C3567" t="s">
        <v>7333</v>
      </c>
      <c r="D3567" t="s">
        <v>3326</v>
      </c>
      <c r="E3567" t="s">
        <v>7334</v>
      </c>
      <c r="F3567" t="s">
        <v>7335</v>
      </c>
      <c r="G3567" t="str">
        <f>"00861169"</f>
        <v>00861169</v>
      </c>
      <c r="H3567">
        <v>14.4</v>
      </c>
      <c r="I3567">
        <v>0</v>
      </c>
      <c r="L3567">
        <v>4</v>
      </c>
      <c r="M3567">
        <v>4</v>
      </c>
      <c r="N3567">
        <v>0</v>
      </c>
      <c r="O3567">
        <v>0</v>
      </c>
      <c r="P3567">
        <v>18.399999999999999</v>
      </c>
      <c r="Q3567">
        <v>0</v>
      </c>
      <c r="R3567">
        <v>0</v>
      </c>
      <c r="S3567">
        <v>0</v>
      </c>
      <c r="T3567">
        <v>0</v>
      </c>
      <c r="U3567">
        <v>0</v>
      </c>
      <c r="V3567">
        <v>0</v>
      </c>
      <c r="W3567">
        <v>0</v>
      </c>
      <c r="X3567">
        <v>0</v>
      </c>
      <c r="Y3567">
        <v>0</v>
      </c>
      <c r="Z3567">
        <v>6</v>
      </c>
      <c r="AA3567">
        <v>0</v>
      </c>
      <c r="AC3567">
        <v>24.4</v>
      </c>
    </row>
    <row r="3568" spans="1:29">
      <c r="A3568">
        <v>3561</v>
      </c>
      <c r="B3568">
        <v>1375</v>
      </c>
      <c r="C3568" t="s">
        <v>6619</v>
      </c>
      <c r="D3568" t="s">
        <v>52</v>
      </c>
      <c r="E3568" t="s">
        <v>15</v>
      </c>
      <c r="F3568" t="s">
        <v>7336</v>
      </c>
      <c r="G3568" t="str">
        <f>"00858686"</f>
        <v>00858686</v>
      </c>
      <c r="H3568">
        <v>14.4</v>
      </c>
      <c r="I3568">
        <v>0</v>
      </c>
      <c r="M3568">
        <v>0</v>
      </c>
      <c r="N3568">
        <v>4</v>
      </c>
      <c r="O3568">
        <v>0</v>
      </c>
      <c r="P3568">
        <v>18.399999999999999</v>
      </c>
      <c r="Q3568">
        <v>0</v>
      </c>
      <c r="R3568">
        <v>0</v>
      </c>
      <c r="S3568">
        <v>0</v>
      </c>
      <c r="T3568">
        <v>0</v>
      </c>
      <c r="U3568">
        <v>0</v>
      </c>
      <c r="V3568">
        <v>0</v>
      </c>
      <c r="W3568">
        <v>0</v>
      </c>
      <c r="X3568">
        <v>0</v>
      </c>
      <c r="Y3568">
        <v>0</v>
      </c>
      <c r="Z3568">
        <v>6</v>
      </c>
      <c r="AA3568">
        <v>0</v>
      </c>
      <c r="AC3568">
        <v>24.4</v>
      </c>
    </row>
    <row r="3569" spans="1:29">
      <c r="A3569">
        <v>3562</v>
      </c>
      <c r="B3569">
        <v>642</v>
      </c>
      <c r="C3569" t="s">
        <v>7337</v>
      </c>
      <c r="D3569" t="s">
        <v>588</v>
      </c>
      <c r="E3569" t="s">
        <v>28</v>
      </c>
      <c r="F3569" t="s">
        <v>7338</v>
      </c>
      <c r="G3569" t="str">
        <f>"00856568"</f>
        <v>00856568</v>
      </c>
      <c r="H3569">
        <v>14.4</v>
      </c>
      <c r="I3569">
        <v>0</v>
      </c>
      <c r="M3569">
        <v>0</v>
      </c>
      <c r="N3569">
        <v>4</v>
      </c>
      <c r="O3569">
        <v>0</v>
      </c>
      <c r="P3569">
        <v>18.399999999999999</v>
      </c>
      <c r="Q3569">
        <v>0</v>
      </c>
      <c r="R3569">
        <v>0</v>
      </c>
      <c r="S3569">
        <v>0</v>
      </c>
      <c r="T3569">
        <v>0</v>
      </c>
      <c r="U3569">
        <v>0</v>
      </c>
      <c r="V3569">
        <v>0</v>
      </c>
      <c r="W3569">
        <v>0</v>
      </c>
      <c r="X3569">
        <v>0</v>
      </c>
      <c r="Y3569">
        <v>0</v>
      </c>
      <c r="Z3569">
        <v>6</v>
      </c>
      <c r="AA3569">
        <v>0</v>
      </c>
      <c r="AC3569">
        <v>24.4</v>
      </c>
    </row>
    <row r="3570" spans="1:29">
      <c r="A3570">
        <v>3563</v>
      </c>
      <c r="B3570">
        <v>1379</v>
      </c>
      <c r="C3570" t="s">
        <v>7339</v>
      </c>
      <c r="D3570" t="s">
        <v>349</v>
      </c>
      <c r="E3570" t="s">
        <v>79</v>
      </c>
      <c r="F3570" t="s">
        <v>7340</v>
      </c>
      <c r="G3570" t="str">
        <f>"00855019"</f>
        <v>00855019</v>
      </c>
      <c r="H3570">
        <v>14.4</v>
      </c>
      <c r="I3570">
        <v>0</v>
      </c>
      <c r="M3570">
        <v>0</v>
      </c>
      <c r="N3570">
        <v>4</v>
      </c>
      <c r="O3570">
        <v>0</v>
      </c>
      <c r="P3570">
        <v>18.399999999999999</v>
      </c>
      <c r="Q3570">
        <v>0</v>
      </c>
      <c r="R3570">
        <v>0</v>
      </c>
      <c r="S3570">
        <v>0</v>
      </c>
      <c r="T3570">
        <v>0</v>
      </c>
      <c r="U3570">
        <v>0</v>
      </c>
      <c r="V3570">
        <v>0</v>
      </c>
      <c r="W3570">
        <v>0</v>
      </c>
      <c r="X3570">
        <v>0</v>
      </c>
      <c r="Y3570">
        <v>0</v>
      </c>
      <c r="Z3570">
        <v>6</v>
      </c>
      <c r="AA3570">
        <v>0</v>
      </c>
      <c r="AC3570">
        <v>24.4</v>
      </c>
    </row>
    <row r="3571" spans="1:29">
      <c r="A3571">
        <v>3564</v>
      </c>
      <c r="B3571">
        <v>3840</v>
      </c>
      <c r="C3571" t="s">
        <v>5132</v>
      </c>
      <c r="D3571" t="s">
        <v>7343</v>
      </c>
      <c r="E3571" t="s">
        <v>3453</v>
      </c>
      <c r="F3571" t="s">
        <v>7344</v>
      </c>
      <c r="G3571" t="str">
        <f>"00389096"</f>
        <v>00389096</v>
      </c>
      <c r="H3571">
        <v>24.4</v>
      </c>
      <c r="I3571">
        <v>0</v>
      </c>
      <c r="M3571">
        <v>0</v>
      </c>
      <c r="N3571">
        <v>0</v>
      </c>
      <c r="O3571">
        <v>0</v>
      </c>
      <c r="P3571">
        <v>24.4</v>
      </c>
      <c r="Q3571">
        <v>0</v>
      </c>
      <c r="R3571">
        <v>0</v>
      </c>
      <c r="S3571">
        <v>0</v>
      </c>
      <c r="T3571">
        <v>0</v>
      </c>
      <c r="U3571">
        <v>0</v>
      </c>
      <c r="V3571">
        <v>0</v>
      </c>
      <c r="W3571">
        <v>0</v>
      </c>
      <c r="X3571">
        <v>0</v>
      </c>
      <c r="Y3571">
        <v>0</v>
      </c>
      <c r="Z3571">
        <v>0</v>
      </c>
      <c r="AA3571">
        <v>0</v>
      </c>
      <c r="AC3571">
        <v>24.4</v>
      </c>
    </row>
    <row r="3572" spans="1:29">
      <c r="A3572">
        <v>3565</v>
      </c>
      <c r="B3572">
        <v>1937</v>
      </c>
      <c r="C3572" t="s">
        <v>7341</v>
      </c>
      <c r="D3572" t="s">
        <v>124</v>
      </c>
      <c r="E3572" t="s">
        <v>134</v>
      </c>
      <c r="F3572" t="s">
        <v>7342</v>
      </c>
      <c r="G3572" t="str">
        <f>"00511637"</f>
        <v>00511637</v>
      </c>
      <c r="H3572">
        <v>24.4</v>
      </c>
      <c r="I3572">
        <v>0</v>
      </c>
      <c r="M3572">
        <v>0</v>
      </c>
      <c r="N3572">
        <v>0</v>
      </c>
      <c r="O3572">
        <v>0</v>
      </c>
      <c r="P3572">
        <v>24.4</v>
      </c>
      <c r="Q3572">
        <v>0</v>
      </c>
      <c r="R3572">
        <v>0</v>
      </c>
      <c r="S3572">
        <v>0</v>
      </c>
      <c r="T3572">
        <v>0</v>
      </c>
      <c r="U3572">
        <v>0</v>
      </c>
      <c r="V3572">
        <v>0</v>
      </c>
      <c r="W3572">
        <v>0</v>
      </c>
      <c r="X3572">
        <v>0</v>
      </c>
      <c r="Y3572">
        <v>0</v>
      </c>
      <c r="Z3572">
        <v>0</v>
      </c>
      <c r="AA3572">
        <v>0</v>
      </c>
      <c r="AC3572">
        <v>24.4</v>
      </c>
    </row>
    <row r="3573" spans="1:29">
      <c r="A3573">
        <v>3566</v>
      </c>
      <c r="B3573">
        <v>2753</v>
      </c>
      <c r="C3573" t="s">
        <v>7345</v>
      </c>
      <c r="D3573" t="s">
        <v>7346</v>
      </c>
      <c r="E3573" t="s">
        <v>36</v>
      </c>
      <c r="F3573" t="s">
        <v>7347</v>
      </c>
      <c r="G3573" t="str">
        <f>"00865255"</f>
        <v>00865255</v>
      </c>
      <c r="H3573">
        <v>20.399999999999999</v>
      </c>
      <c r="I3573">
        <v>0</v>
      </c>
      <c r="M3573">
        <v>0</v>
      </c>
      <c r="N3573">
        <v>4</v>
      </c>
      <c r="O3573">
        <v>0</v>
      </c>
      <c r="P3573">
        <v>24.4</v>
      </c>
      <c r="Q3573">
        <v>0</v>
      </c>
      <c r="R3573">
        <v>0</v>
      </c>
      <c r="S3573">
        <v>0</v>
      </c>
      <c r="T3573">
        <v>0</v>
      </c>
      <c r="U3573">
        <v>0</v>
      </c>
      <c r="V3573">
        <v>0</v>
      </c>
      <c r="W3573">
        <v>0</v>
      </c>
      <c r="X3573">
        <v>0</v>
      </c>
      <c r="Y3573">
        <v>0</v>
      </c>
      <c r="Z3573">
        <v>0</v>
      </c>
      <c r="AA3573">
        <v>0</v>
      </c>
      <c r="AC3573">
        <v>24.4</v>
      </c>
    </row>
    <row r="3574" spans="1:29">
      <c r="A3574">
        <v>3567</v>
      </c>
      <c r="B3574">
        <v>4710</v>
      </c>
      <c r="C3574" t="s">
        <v>7353</v>
      </c>
      <c r="D3574" t="s">
        <v>108</v>
      </c>
      <c r="E3574" t="s">
        <v>28</v>
      </c>
      <c r="F3574" t="s">
        <v>7354</v>
      </c>
      <c r="G3574" t="str">
        <f>"00306740"</f>
        <v>00306740</v>
      </c>
      <c r="H3574">
        <v>14.4</v>
      </c>
      <c r="I3574">
        <v>0</v>
      </c>
      <c r="L3574">
        <v>4</v>
      </c>
      <c r="M3574">
        <v>4</v>
      </c>
      <c r="N3574">
        <v>4</v>
      </c>
      <c r="O3574">
        <v>2</v>
      </c>
      <c r="P3574">
        <v>24.4</v>
      </c>
      <c r="Q3574">
        <v>0</v>
      </c>
      <c r="R3574">
        <v>0</v>
      </c>
      <c r="S3574">
        <v>0</v>
      </c>
      <c r="T3574">
        <v>0</v>
      </c>
      <c r="U3574">
        <v>0</v>
      </c>
      <c r="V3574">
        <v>0</v>
      </c>
      <c r="W3574">
        <v>0</v>
      </c>
      <c r="X3574">
        <v>0</v>
      </c>
      <c r="Y3574">
        <v>0</v>
      </c>
      <c r="Z3574">
        <v>0</v>
      </c>
      <c r="AA3574">
        <v>0</v>
      </c>
      <c r="AC3574">
        <v>24.4</v>
      </c>
    </row>
    <row r="3575" spans="1:29">
      <c r="A3575">
        <v>3568</v>
      </c>
      <c r="B3575">
        <v>4749</v>
      </c>
      <c r="C3575" t="s">
        <v>7355</v>
      </c>
      <c r="D3575" t="s">
        <v>643</v>
      </c>
      <c r="E3575" t="s">
        <v>15</v>
      </c>
      <c r="F3575" t="s">
        <v>7356</v>
      </c>
      <c r="G3575" t="str">
        <f>"00865910"</f>
        <v>00865910</v>
      </c>
      <c r="H3575">
        <v>14.4</v>
      </c>
      <c r="I3575">
        <v>10</v>
      </c>
      <c r="M3575">
        <v>0</v>
      </c>
      <c r="N3575">
        <v>0</v>
      </c>
      <c r="O3575">
        <v>0</v>
      </c>
      <c r="P3575">
        <v>24.4</v>
      </c>
      <c r="Q3575">
        <v>0</v>
      </c>
      <c r="R3575">
        <v>0</v>
      </c>
      <c r="S3575">
        <v>0</v>
      </c>
      <c r="T3575">
        <v>0</v>
      </c>
      <c r="U3575">
        <v>0</v>
      </c>
      <c r="V3575">
        <v>0</v>
      </c>
      <c r="W3575">
        <v>0</v>
      </c>
      <c r="X3575">
        <v>0</v>
      </c>
      <c r="Y3575">
        <v>0</v>
      </c>
      <c r="Z3575">
        <v>0</v>
      </c>
      <c r="AA3575">
        <v>0</v>
      </c>
      <c r="AC3575">
        <v>24.4</v>
      </c>
    </row>
    <row r="3576" spans="1:29">
      <c r="A3576">
        <v>3569</v>
      </c>
      <c r="B3576">
        <v>1839</v>
      </c>
      <c r="C3576" t="s">
        <v>7359</v>
      </c>
      <c r="D3576" t="s">
        <v>98</v>
      </c>
      <c r="E3576" t="s">
        <v>18</v>
      </c>
      <c r="F3576" t="s">
        <v>7360</v>
      </c>
      <c r="G3576" t="str">
        <f>"00860568"</f>
        <v>00860568</v>
      </c>
      <c r="H3576">
        <v>14.4</v>
      </c>
      <c r="I3576">
        <v>0</v>
      </c>
      <c r="L3576">
        <v>4</v>
      </c>
      <c r="M3576">
        <v>4</v>
      </c>
      <c r="N3576">
        <v>4</v>
      </c>
      <c r="O3576">
        <v>2</v>
      </c>
      <c r="P3576">
        <v>24.4</v>
      </c>
      <c r="Q3576">
        <v>0</v>
      </c>
      <c r="R3576">
        <v>0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0</v>
      </c>
      <c r="Y3576">
        <v>0</v>
      </c>
      <c r="Z3576">
        <v>0</v>
      </c>
      <c r="AA3576">
        <v>0</v>
      </c>
      <c r="AC3576">
        <v>24.4</v>
      </c>
    </row>
    <row r="3577" spans="1:29">
      <c r="A3577">
        <v>3570</v>
      </c>
      <c r="B3577">
        <v>4312</v>
      </c>
      <c r="C3577" t="s">
        <v>786</v>
      </c>
      <c r="D3577" t="s">
        <v>27</v>
      </c>
      <c r="E3577" t="s">
        <v>621</v>
      </c>
      <c r="F3577" t="s">
        <v>7350</v>
      </c>
      <c r="G3577" t="str">
        <f>"00317810"</f>
        <v>00317810</v>
      </c>
      <c r="H3577">
        <v>14.4</v>
      </c>
      <c r="I3577">
        <v>0</v>
      </c>
      <c r="L3577">
        <v>4</v>
      </c>
      <c r="M3577">
        <v>4</v>
      </c>
      <c r="N3577">
        <v>4</v>
      </c>
      <c r="O3577">
        <v>2</v>
      </c>
      <c r="P3577">
        <v>24.4</v>
      </c>
      <c r="Q3577">
        <v>0</v>
      </c>
      <c r="R3577">
        <v>0</v>
      </c>
      <c r="S3577">
        <v>0</v>
      </c>
      <c r="T3577">
        <v>0</v>
      </c>
      <c r="U3577">
        <v>0</v>
      </c>
      <c r="V3577">
        <v>0</v>
      </c>
      <c r="W3577">
        <v>0</v>
      </c>
      <c r="X3577">
        <v>0</v>
      </c>
      <c r="Y3577">
        <v>0</v>
      </c>
      <c r="Z3577">
        <v>0</v>
      </c>
      <c r="AA3577">
        <v>0</v>
      </c>
      <c r="AC3577">
        <v>24.4</v>
      </c>
    </row>
    <row r="3578" spans="1:29">
      <c r="A3578">
        <v>3571</v>
      </c>
      <c r="B3578">
        <v>2959</v>
      </c>
      <c r="C3578" t="s">
        <v>7348</v>
      </c>
      <c r="D3578" t="s">
        <v>1327</v>
      </c>
      <c r="E3578" t="s">
        <v>79</v>
      </c>
      <c r="F3578" t="s">
        <v>7349</v>
      </c>
      <c r="G3578" t="str">
        <f>"00863304"</f>
        <v>00863304</v>
      </c>
      <c r="H3578">
        <v>14.4</v>
      </c>
      <c r="I3578">
        <v>0</v>
      </c>
      <c r="L3578">
        <v>4</v>
      </c>
      <c r="M3578">
        <v>4</v>
      </c>
      <c r="N3578">
        <v>4</v>
      </c>
      <c r="O3578">
        <v>2</v>
      </c>
      <c r="P3578">
        <v>24.4</v>
      </c>
      <c r="Q3578">
        <v>0</v>
      </c>
      <c r="R3578">
        <v>0</v>
      </c>
      <c r="S3578">
        <v>0</v>
      </c>
      <c r="T3578">
        <v>0</v>
      </c>
      <c r="U3578">
        <v>0</v>
      </c>
      <c r="V3578">
        <v>0</v>
      </c>
      <c r="W3578">
        <v>0</v>
      </c>
      <c r="X3578">
        <v>0</v>
      </c>
      <c r="Y3578">
        <v>0</v>
      </c>
      <c r="Z3578">
        <v>0</v>
      </c>
      <c r="AA3578">
        <v>0</v>
      </c>
      <c r="AC3578">
        <v>24.4</v>
      </c>
    </row>
    <row r="3579" spans="1:29">
      <c r="A3579">
        <v>3572</v>
      </c>
      <c r="B3579">
        <v>3371</v>
      </c>
      <c r="C3579" t="s">
        <v>7351</v>
      </c>
      <c r="D3579" t="s">
        <v>185</v>
      </c>
      <c r="E3579" t="s">
        <v>60</v>
      </c>
      <c r="F3579" t="s">
        <v>7352</v>
      </c>
      <c r="G3579" t="str">
        <f>"00861433"</f>
        <v>00861433</v>
      </c>
      <c r="H3579">
        <v>14.4</v>
      </c>
      <c r="I3579">
        <v>0</v>
      </c>
      <c r="L3579">
        <v>4</v>
      </c>
      <c r="M3579">
        <v>4</v>
      </c>
      <c r="N3579">
        <v>4</v>
      </c>
      <c r="O3579">
        <v>2</v>
      </c>
      <c r="P3579">
        <v>24.4</v>
      </c>
      <c r="Q3579">
        <v>0</v>
      </c>
      <c r="R3579">
        <v>0</v>
      </c>
      <c r="S3579">
        <v>0</v>
      </c>
      <c r="T3579">
        <v>0</v>
      </c>
      <c r="U3579">
        <v>0</v>
      </c>
      <c r="V3579">
        <v>0</v>
      </c>
      <c r="W3579">
        <v>0</v>
      </c>
      <c r="X3579">
        <v>0</v>
      </c>
      <c r="Y3579">
        <v>0</v>
      </c>
      <c r="Z3579">
        <v>0</v>
      </c>
      <c r="AA3579">
        <v>0</v>
      </c>
      <c r="AB3579" t="s">
        <v>128</v>
      </c>
      <c r="AC3579">
        <v>24.4</v>
      </c>
    </row>
    <row r="3580" spans="1:29">
      <c r="A3580">
        <v>3573</v>
      </c>
      <c r="B3580">
        <v>4600</v>
      </c>
      <c r="C3580" t="s">
        <v>7361</v>
      </c>
      <c r="D3580" t="s">
        <v>52</v>
      </c>
      <c r="E3580" t="s">
        <v>15</v>
      </c>
      <c r="F3580" t="s">
        <v>7362</v>
      </c>
      <c r="G3580" t="str">
        <f>"00866651"</f>
        <v>00866651</v>
      </c>
      <c r="H3580">
        <v>14.4</v>
      </c>
      <c r="I3580">
        <v>0</v>
      </c>
      <c r="L3580">
        <v>4</v>
      </c>
      <c r="M3580">
        <v>4</v>
      </c>
      <c r="N3580">
        <v>4</v>
      </c>
      <c r="O3580">
        <v>2</v>
      </c>
      <c r="P3580">
        <v>24.4</v>
      </c>
      <c r="Q3580">
        <v>0</v>
      </c>
      <c r="R3580">
        <v>0</v>
      </c>
      <c r="S3580">
        <v>0</v>
      </c>
      <c r="T3580">
        <v>0</v>
      </c>
      <c r="U3580">
        <v>0</v>
      </c>
      <c r="V3580">
        <v>0</v>
      </c>
      <c r="W3580">
        <v>0</v>
      </c>
      <c r="X3580">
        <v>0</v>
      </c>
      <c r="Y3580">
        <v>0</v>
      </c>
      <c r="Z3580">
        <v>0</v>
      </c>
      <c r="AA3580">
        <v>0</v>
      </c>
      <c r="AC3580">
        <v>24.4</v>
      </c>
    </row>
    <row r="3581" spans="1:29">
      <c r="A3581">
        <v>3574</v>
      </c>
      <c r="B3581">
        <v>172</v>
      </c>
      <c r="C3581" t="s">
        <v>7357</v>
      </c>
      <c r="D3581" t="s">
        <v>39</v>
      </c>
      <c r="E3581" t="s">
        <v>187</v>
      </c>
      <c r="F3581" t="s">
        <v>7358</v>
      </c>
      <c r="G3581" t="str">
        <f>"00507254"</f>
        <v>00507254</v>
      </c>
      <c r="H3581">
        <v>14.4</v>
      </c>
      <c r="I3581">
        <v>0</v>
      </c>
      <c r="L3581">
        <v>4</v>
      </c>
      <c r="M3581">
        <v>4</v>
      </c>
      <c r="N3581">
        <v>4</v>
      </c>
      <c r="O3581">
        <v>2</v>
      </c>
      <c r="P3581">
        <v>24.4</v>
      </c>
      <c r="Q3581">
        <v>0</v>
      </c>
      <c r="R3581">
        <v>0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0</v>
      </c>
      <c r="Y3581">
        <v>0</v>
      </c>
      <c r="Z3581">
        <v>0</v>
      </c>
      <c r="AA3581">
        <v>0</v>
      </c>
      <c r="AC3581">
        <v>24.4</v>
      </c>
    </row>
    <row r="3582" spans="1:29">
      <c r="A3582">
        <v>3575</v>
      </c>
      <c r="B3582">
        <v>4407</v>
      </c>
      <c r="C3582" t="s">
        <v>7363</v>
      </c>
      <c r="D3582" t="s">
        <v>113</v>
      </c>
      <c r="E3582" t="s">
        <v>28</v>
      </c>
      <c r="F3582" t="s">
        <v>7364</v>
      </c>
      <c r="G3582" t="str">
        <f>"00854245"</f>
        <v>00854245</v>
      </c>
      <c r="H3582">
        <v>14.4</v>
      </c>
      <c r="I3582">
        <v>0</v>
      </c>
      <c r="L3582">
        <v>4</v>
      </c>
      <c r="M3582">
        <v>4</v>
      </c>
      <c r="N3582">
        <v>4</v>
      </c>
      <c r="O3582">
        <v>2</v>
      </c>
      <c r="P3582">
        <v>24.4</v>
      </c>
      <c r="Q3582">
        <v>0</v>
      </c>
      <c r="R3582">
        <v>0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0</v>
      </c>
      <c r="Y3582">
        <v>0</v>
      </c>
      <c r="Z3582">
        <v>0</v>
      </c>
      <c r="AA3582">
        <v>0</v>
      </c>
      <c r="AC3582">
        <v>24.4</v>
      </c>
    </row>
    <row r="3583" spans="1:29">
      <c r="A3583">
        <v>3576</v>
      </c>
      <c r="B3583">
        <v>510</v>
      </c>
      <c r="C3583" t="s">
        <v>7365</v>
      </c>
      <c r="D3583" t="s">
        <v>27</v>
      </c>
      <c r="E3583" t="s">
        <v>379</v>
      </c>
      <c r="F3583" t="s">
        <v>7366</v>
      </c>
      <c r="G3583" t="str">
        <f>"00031712"</f>
        <v>00031712</v>
      </c>
      <c r="H3583">
        <v>10.4</v>
      </c>
      <c r="I3583">
        <v>10</v>
      </c>
      <c r="M3583">
        <v>0</v>
      </c>
      <c r="N3583">
        <v>4</v>
      </c>
      <c r="O3583">
        <v>0</v>
      </c>
      <c r="P3583">
        <v>24.4</v>
      </c>
      <c r="Q3583">
        <v>0</v>
      </c>
      <c r="R3583">
        <v>0</v>
      </c>
      <c r="S3583">
        <v>0</v>
      </c>
      <c r="T3583">
        <v>0</v>
      </c>
      <c r="U3583">
        <v>0</v>
      </c>
      <c r="V3583">
        <v>0</v>
      </c>
      <c r="W3583">
        <v>0</v>
      </c>
      <c r="X3583">
        <v>0</v>
      </c>
      <c r="Y3583">
        <v>0</v>
      </c>
      <c r="Z3583">
        <v>0</v>
      </c>
      <c r="AA3583">
        <v>0</v>
      </c>
      <c r="AC3583">
        <v>24.4</v>
      </c>
    </row>
    <row r="3584" spans="1:29">
      <c r="A3584">
        <v>3577</v>
      </c>
      <c r="B3584">
        <v>2343</v>
      </c>
      <c r="C3584" t="s">
        <v>7367</v>
      </c>
      <c r="D3584" t="s">
        <v>185</v>
      </c>
      <c r="E3584" t="s">
        <v>224</v>
      </c>
      <c r="F3584" t="s">
        <v>7368</v>
      </c>
      <c r="G3584" t="str">
        <f>"00294723"</f>
        <v>00294723</v>
      </c>
      <c r="H3584">
        <v>14.4</v>
      </c>
      <c r="I3584">
        <v>0</v>
      </c>
      <c r="L3584">
        <v>4</v>
      </c>
      <c r="M3584">
        <v>4</v>
      </c>
      <c r="N3584">
        <v>4</v>
      </c>
      <c r="O3584">
        <v>0</v>
      </c>
      <c r="P3584">
        <v>22.4</v>
      </c>
      <c r="Q3584">
        <v>2</v>
      </c>
      <c r="R3584">
        <v>2</v>
      </c>
      <c r="S3584">
        <v>0</v>
      </c>
      <c r="T3584">
        <v>0</v>
      </c>
      <c r="U3584">
        <v>0</v>
      </c>
      <c r="V3584">
        <v>0</v>
      </c>
      <c r="W3584">
        <v>0</v>
      </c>
      <c r="X3584">
        <v>0</v>
      </c>
      <c r="Y3584">
        <v>2</v>
      </c>
      <c r="Z3584">
        <v>0</v>
      </c>
      <c r="AA3584">
        <v>0</v>
      </c>
      <c r="AC3584">
        <v>24.4</v>
      </c>
    </row>
    <row r="3585" spans="1:29">
      <c r="A3585">
        <v>3578</v>
      </c>
      <c r="B3585">
        <v>4275</v>
      </c>
      <c r="C3585" t="s">
        <v>7369</v>
      </c>
      <c r="D3585" t="s">
        <v>276</v>
      </c>
      <c r="E3585" t="s">
        <v>66</v>
      </c>
      <c r="F3585" t="s">
        <v>7370</v>
      </c>
      <c r="G3585" t="str">
        <f>"00864793"</f>
        <v>00864793</v>
      </c>
      <c r="H3585">
        <v>24.36</v>
      </c>
      <c r="I3585">
        <v>0</v>
      </c>
      <c r="M3585">
        <v>0</v>
      </c>
      <c r="N3585">
        <v>0</v>
      </c>
      <c r="O3585">
        <v>0</v>
      </c>
      <c r="P3585">
        <v>24.36</v>
      </c>
      <c r="Q3585">
        <v>0</v>
      </c>
      <c r="R3585">
        <v>0</v>
      </c>
      <c r="S3585">
        <v>0</v>
      </c>
      <c r="T3585">
        <v>0</v>
      </c>
      <c r="U3585">
        <v>0</v>
      </c>
      <c r="V3585">
        <v>0</v>
      </c>
      <c r="W3585">
        <v>0</v>
      </c>
      <c r="X3585">
        <v>0</v>
      </c>
      <c r="Y3585">
        <v>0</v>
      </c>
      <c r="Z3585">
        <v>0</v>
      </c>
      <c r="AA3585">
        <v>0</v>
      </c>
      <c r="AC3585">
        <v>24.36</v>
      </c>
    </row>
    <row r="3586" spans="1:29">
      <c r="A3586">
        <v>3579</v>
      </c>
      <c r="B3586">
        <v>3812</v>
      </c>
      <c r="C3586" t="s">
        <v>7371</v>
      </c>
      <c r="D3586" t="s">
        <v>98</v>
      </c>
      <c r="E3586" t="s">
        <v>36</v>
      </c>
      <c r="F3586" t="s">
        <v>7372</v>
      </c>
      <c r="G3586" t="str">
        <f>"00032378"</f>
        <v>00032378</v>
      </c>
      <c r="H3586">
        <v>20.28</v>
      </c>
      <c r="I3586">
        <v>0</v>
      </c>
      <c r="M3586">
        <v>0</v>
      </c>
      <c r="N3586">
        <v>4</v>
      </c>
      <c r="O3586">
        <v>0</v>
      </c>
      <c r="P3586">
        <v>24.28</v>
      </c>
      <c r="Q3586">
        <v>0</v>
      </c>
      <c r="R3586">
        <v>0</v>
      </c>
      <c r="S3586">
        <v>0</v>
      </c>
      <c r="T3586">
        <v>0</v>
      </c>
      <c r="U3586">
        <v>0</v>
      </c>
      <c r="V3586">
        <v>0</v>
      </c>
      <c r="W3586">
        <v>0</v>
      </c>
      <c r="X3586">
        <v>0</v>
      </c>
      <c r="Y3586">
        <v>0</v>
      </c>
      <c r="Z3586">
        <v>0</v>
      </c>
      <c r="AA3586">
        <v>0</v>
      </c>
      <c r="AC3586">
        <v>24.28</v>
      </c>
    </row>
    <row r="3587" spans="1:29">
      <c r="A3587">
        <v>3580</v>
      </c>
      <c r="B3587">
        <v>4888</v>
      </c>
      <c r="C3587" t="s">
        <v>7374</v>
      </c>
      <c r="D3587" t="s">
        <v>694</v>
      </c>
      <c r="E3587" t="s">
        <v>15</v>
      </c>
      <c r="F3587" t="s">
        <v>7375</v>
      </c>
      <c r="G3587" t="str">
        <f>"00532283"</f>
        <v>00532283</v>
      </c>
      <c r="H3587">
        <v>7.2</v>
      </c>
      <c r="I3587">
        <v>0</v>
      </c>
      <c r="M3587">
        <v>0</v>
      </c>
      <c r="N3587">
        <v>4</v>
      </c>
      <c r="O3587">
        <v>2</v>
      </c>
      <c r="P3587">
        <v>13.2</v>
      </c>
      <c r="Q3587">
        <v>11</v>
      </c>
      <c r="R3587">
        <v>11</v>
      </c>
      <c r="S3587">
        <v>0</v>
      </c>
      <c r="T3587">
        <v>0</v>
      </c>
      <c r="U3587">
        <v>0</v>
      </c>
      <c r="V3587">
        <v>0</v>
      </c>
      <c r="W3587">
        <v>0</v>
      </c>
      <c r="X3587">
        <v>0</v>
      </c>
      <c r="Y3587">
        <v>11</v>
      </c>
      <c r="Z3587">
        <v>0</v>
      </c>
      <c r="AA3587">
        <v>0</v>
      </c>
      <c r="AC3587">
        <v>24.2</v>
      </c>
    </row>
    <row r="3588" spans="1:29">
      <c r="A3588">
        <v>3581</v>
      </c>
      <c r="B3588">
        <v>3897</v>
      </c>
      <c r="C3588" t="s">
        <v>897</v>
      </c>
      <c r="D3588" t="s">
        <v>179</v>
      </c>
      <c r="E3588" t="s">
        <v>436</v>
      </c>
      <c r="F3588" t="s">
        <v>7373</v>
      </c>
      <c r="G3588" t="str">
        <f>"00317263"</f>
        <v>00317263</v>
      </c>
      <c r="H3588">
        <v>7.2</v>
      </c>
      <c r="I3588">
        <v>0</v>
      </c>
      <c r="M3588">
        <v>0</v>
      </c>
      <c r="N3588">
        <v>4</v>
      </c>
      <c r="O3588">
        <v>2</v>
      </c>
      <c r="P3588">
        <v>13.2</v>
      </c>
      <c r="Q3588">
        <v>11</v>
      </c>
      <c r="R3588">
        <v>11</v>
      </c>
      <c r="S3588">
        <v>0</v>
      </c>
      <c r="T3588">
        <v>0</v>
      </c>
      <c r="U3588">
        <v>0</v>
      </c>
      <c r="V3588">
        <v>0</v>
      </c>
      <c r="W3588">
        <v>0</v>
      </c>
      <c r="X3588">
        <v>0</v>
      </c>
      <c r="Y3588">
        <v>11</v>
      </c>
      <c r="Z3588">
        <v>0</v>
      </c>
      <c r="AA3588">
        <v>0</v>
      </c>
      <c r="AC3588">
        <v>24.2</v>
      </c>
    </row>
    <row r="3589" spans="1:29">
      <c r="A3589">
        <v>3582</v>
      </c>
      <c r="B3589">
        <v>3372</v>
      </c>
      <c r="C3589" t="s">
        <v>7376</v>
      </c>
      <c r="D3589" t="s">
        <v>7377</v>
      </c>
      <c r="E3589" t="s">
        <v>66</v>
      </c>
      <c r="F3589" t="s">
        <v>7378</v>
      </c>
      <c r="G3589" t="str">
        <f>"00226396"</f>
        <v>00226396</v>
      </c>
      <c r="H3589">
        <v>14.12</v>
      </c>
      <c r="I3589">
        <v>0</v>
      </c>
      <c r="M3589">
        <v>0</v>
      </c>
      <c r="N3589">
        <v>4</v>
      </c>
      <c r="O3589">
        <v>0</v>
      </c>
      <c r="P3589">
        <v>18.12</v>
      </c>
      <c r="Q3589">
        <v>0</v>
      </c>
      <c r="R3589">
        <v>0</v>
      </c>
      <c r="S3589">
        <v>0</v>
      </c>
      <c r="T3589">
        <v>0</v>
      </c>
      <c r="U3589">
        <v>0</v>
      </c>
      <c r="V3589">
        <v>0</v>
      </c>
      <c r="W3589">
        <v>0</v>
      </c>
      <c r="X3589">
        <v>0</v>
      </c>
      <c r="Y3589">
        <v>0</v>
      </c>
      <c r="Z3589">
        <v>6</v>
      </c>
      <c r="AA3589">
        <v>0</v>
      </c>
      <c r="AC3589">
        <v>24.12</v>
      </c>
    </row>
    <row r="3590" spans="1:29">
      <c r="A3590">
        <v>3583</v>
      </c>
      <c r="B3590">
        <v>4835</v>
      </c>
      <c r="C3590" t="s">
        <v>3932</v>
      </c>
      <c r="D3590" t="s">
        <v>205</v>
      </c>
      <c r="E3590" t="s">
        <v>237</v>
      </c>
      <c r="F3590" t="s">
        <v>7379</v>
      </c>
      <c r="G3590" t="str">
        <f>"00866702"</f>
        <v>00866702</v>
      </c>
      <c r="H3590">
        <v>21.08</v>
      </c>
      <c r="I3590">
        <v>0</v>
      </c>
      <c r="M3590">
        <v>0</v>
      </c>
      <c r="N3590">
        <v>0</v>
      </c>
      <c r="O3590">
        <v>0</v>
      </c>
      <c r="P3590">
        <v>21.08</v>
      </c>
      <c r="Q3590">
        <v>0</v>
      </c>
      <c r="R3590">
        <v>0</v>
      </c>
      <c r="S3590">
        <v>0</v>
      </c>
      <c r="T3590">
        <v>0</v>
      </c>
      <c r="U3590">
        <v>0</v>
      </c>
      <c r="V3590">
        <v>0</v>
      </c>
      <c r="W3590">
        <v>0</v>
      </c>
      <c r="X3590">
        <v>0</v>
      </c>
      <c r="Y3590">
        <v>0</v>
      </c>
      <c r="Z3590">
        <v>3</v>
      </c>
      <c r="AA3590">
        <v>0</v>
      </c>
      <c r="AC3590">
        <v>24.08</v>
      </c>
    </row>
    <row r="3591" spans="1:29">
      <c r="A3591">
        <v>3584</v>
      </c>
      <c r="B3591">
        <v>2320</v>
      </c>
      <c r="C3591" t="s">
        <v>7380</v>
      </c>
      <c r="D3591" t="s">
        <v>510</v>
      </c>
      <c r="E3591" t="s">
        <v>79</v>
      </c>
      <c r="F3591" t="s">
        <v>7381</v>
      </c>
      <c r="G3591" t="str">
        <f>"00417441"</f>
        <v>00417441</v>
      </c>
      <c r="H3591">
        <v>12</v>
      </c>
      <c r="I3591">
        <v>0</v>
      </c>
      <c r="M3591">
        <v>0</v>
      </c>
      <c r="N3591">
        <v>0</v>
      </c>
      <c r="O3591">
        <v>0</v>
      </c>
      <c r="P3591">
        <v>12</v>
      </c>
      <c r="Q3591">
        <v>0</v>
      </c>
      <c r="R3591">
        <v>0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0</v>
      </c>
      <c r="Y3591">
        <v>0</v>
      </c>
      <c r="Z3591">
        <v>12</v>
      </c>
      <c r="AA3591">
        <v>0</v>
      </c>
      <c r="AC3591">
        <v>24</v>
      </c>
    </row>
    <row r="3592" spans="1:29">
      <c r="A3592">
        <v>3585</v>
      </c>
      <c r="B3592">
        <v>1566</v>
      </c>
      <c r="C3592" t="s">
        <v>2019</v>
      </c>
      <c r="D3592" t="s">
        <v>147</v>
      </c>
      <c r="E3592" t="s">
        <v>122</v>
      </c>
      <c r="F3592" t="s">
        <v>7382</v>
      </c>
      <c r="G3592" t="str">
        <f>"201412004026"</f>
        <v>201412004026</v>
      </c>
      <c r="H3592">
        <v>0</v>
      </c>
      <c r="I3592">
        <v>0</v>
      </c>
      <c r="L3592">
        <v>4</v>
      </c>
      <c r="M3592">
        <v>4</v>
      </c>
      <c r="N3592">
        <v>4</v>
      </c>
      <c r="O3592">
        <v>2</v>
      </c>
      <c r="P3592">
        <v>10</v>
      </c>
      <c r="Q3592">
        <v>8</v>
      </c>
      <c r="R3592">
        <v>8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0</v>
      </c>
      <c r="Y3592">
        <v>8</v>
      </c>
      <c r="Z3592">
        <v>6</v>
      </c>
      <c r="AA3592">
        <v>0</v>
      </c>
      <c r="AB3592" t="s">
        <v>128</v>
      </c>
      <c r="AC3592">
        <v>24</v>
      </c>
    </row>
    <row r="3593" spans="1:29">
      <c r="A3593">
        <v>3586</v>
      </c>
      <c r="B3593">
        <v>4258</v>
      </c>
      <c r="C3593" t="s">
        <v>539</v>
      </c>
      <c r="D3593" t="s">
        <v>1150</v>
      </c>
      <c r="E3593" t="s">
        <v>304</v>
      </c>
      <c r="F3593" t="s">
        <v>7385</v>
      </c>
      <c r="G3593" t="str">
        <f>"00140485"</f>
        <v>00140485</v>
      </c>
      <c r="H3593">
        <v>24</v>
      </c>
      <c r="I3593">
        <v>0</v>
      </c>
      <c r="M3593">
        <v>0</v>
      </c>
      <c r="N3593">
        <v>0</v>
      </c>
      <c r="O3593">
        <v>0</v>
      </c>
      <c r="P3593">
        <v>24</v>
      </c>
      <c r="Q3593">
        <v>0</v>
      </c>
      <c r="R3593">
        <v>0</v>
      </c>
      <c r="S3593">
        <v>0</v>
      </c>
      <c r="T3593">
        <v>0</v>
      </c>
      <c r="U3593">
        <v>0</v>
      </c>
      <c r="V3593">
        <v>0</v>
      </c>
      <c r="W3593">
        <v>0</v>
      </c>
      <c r="X3593">
        <v>0</v>
      </c>
      <c r="Y3593">
        <v>0</v>
      </c>
      <c r="Z3593">
        <v>0</v>
      </c>
      <c r="AA3593">
        <v>0</v>
      </c>
      <c r="AC3593">
        <v>24</v>
      </c>
    </row>
    <row r="3594" spans="1:29">
      <c r="A3594">
        <v>3587</v>
      </c>
      <c r="B3594">
        <v>2044</v>
      </c>
      <c r="C3594" t="s">
        <v>7383</v>
      </c>
      <c r="D3594" t="s">
        <v>20</v>
      </c>
      <c r="E3594" t="s">
        <v>60</v>
      </c>
      <c r="F3594" t="s">
        <v>7384</v>
      </c>
      <c r="G3594" t="str">
        <f>"00855454"</f>
        <v>00855454</v>
      </c>
      <c r="H3594">
        <v>24</v>
      </c>
      <c r="I3594">
        <v>0</v>
      </c>
      <c r="M3594">
        <v>0</v>
      </c>
      <c r="N3594">
        <v>0</v>
      </c>
      <c r="O3594">
        <v>0</v>
      </c>
      <c r="P3594">
        <v>24</v>
      </c>
      <c r="Q3594">
        <v>0</v>
      </c>
      <c r="R3594">
        <v>0</v>
      </c>
      <c r="S3594">
        <v>0</v>
      </c>
      <c r="T3594">
        <v>0</v>
      </c>
      <c r="U3594">
        <v>0</v>
      </c>
      <c r="V3594">
        <v>0</v>
      </c>
      <c r="W3594">
        <v>0</v>
      </c>
      <c r="X3594">
        <v>0</v>
      </c>
      <c r="Y3594">
        <v>0</v>
      </c>
      <c r="Z3594">
        <v>0</v>
      </c>
      <c r="AA3594">
        <v>0</v>
      </c>
      <c r="AC3594">
        <v>24</v>
      </c>
    </row>
    <row r="3595" spans="1:29">
      <c r="A3595">
        <v>3588</v>
      </c>
      <c r="B3595">
        <v>4355</v>
      </c>
      <c r="C3595" t="s">
        <v>7386</v>
      </c>
      <c r="D3595" t="s">
        <v>24</v>
      </c>
      <c r="E3595" t="s">
        <v>79</v>
      </c>
      <c r="F3595" t="s">
        <v>7387</v>
      </c>
      <c r="G3595" t="str">
        <f>"00865172"</f>
        <v>00865172</v>
      </c>
      <c r="H3595">
        <v>20</v>
      </c>
      <c r="I3595">
        <v>0</v>
      </c>
      <c r="M3595">
        <v>0</v>
      </c>
      <c r="N3595">
        <v>4</v>
      </c>
      <c r="O3595">
        <v>0</v>
      </c>
      <c r="P3595">
        <v>24</v>
      </c>
      <c r="Q3595">
        <v>0</v>
      </c>
      <c r="R3595">
        <v>0</v>
      </c>
      <c r="S3595">
        <v>0</v>
      </c>
      <c r="T3595">
        <v>0</v>
      </c>
      <c r="U3595">
        <v>0</v>
      </c>
      <c r="V3595">
        <v>0</v>
      </c>
      <c r="W3595">
        <v>0</v>
      </c>
      <c r="X3595">
        <v>0</v>
      </c>
      <c r="Y3595">
        <v>0</v>
      </c>
      <c r="Z3595">
        <v>0</v>
      </c>
      <c r="AA3595">
        <v>0</v>
      </c>
      <c r="AC3595">
        <v>24</v>
      </c>
    </row>
    <row r="3596" spans="1:29">
      <c r="A3596">
        <v>3589</v>
      </c>
      <c r="B3596">
        <v>4928</v>
      </c>
      <c r="C3596" t="s">
        <v>7388</v>
      </c>
      <c r="D3596" t="s">
        <v>930</v>
      </c>
      <c r="E3596" t="s">
        <v>79</v>
      </c>
      <c r="F3596" t="s">
        <v>7389</v>
      </c>
      <c r="G3596" t="str">
        <f>"00445380"</f>
        <v>00445380</v>
      </c>
      <c r="H3596">
        <v>12</v>
      </c>
      <c r="I3596">
        <v>0</v>
      </c>
      <c r="J3596">
        <v>8</v>
      </c>
      <c r="M3596">
        <v>8</v>
      </c>
      <c r="N3596">
        <v>4</v>
      </c>
      <c r="O3596">
        <v>0</v>
      </c>
      <c r="P3596">
        <v>24</v>
      </c>
      <c r="Q3596">
        <v>0</v>
      </c>
      <c r="R3596">
        <v>0</v>
      </c>
      <c r="S3596">
        <v>0</v>
      </c>
      <c r="T3596">
        <v>0</v>
      </c>
      <c r="U3596">
        <v>0</v>
      </c>
      <c r="V3596">
        <v>0</v>
      </c>
      <c r="W3596">
        <v>0</v>
      </c>
      <c r="X3596">
        <v>0</v>
      </c>
      <c r="Y3596">
        <v>0</v>
      </c>
      <c r="Z3596">
        <v>0</v>
      </c>
      <c r="AA3596">
        <v>0</v>
      </c>
      <c r="AC3596">
        <v>24</v>
      </c>
    </row>
    <row r="3597" spans="1:29">
      <c r="A3597">
        <v>3590</v>
      </c>
      <c r="B3597">
        <v>2174</v>
      </c>
      <c r="C3597" t="s">
        <v>5356</v>
      </c>
      <c r="D3597" t="s">
        <v>145</v>
      </c>
      <c r="E3597" t="s">
        <v>967</v>
      </c>
      <c r="F3597" t="s">
        <v>7390</v>
      </c>
      <c r="G3597" t="str">
        <f>"201412006493"</f>
        <v>201412006493</v>
      </c>
      <c r="H3597">
        <v>0</v>
      </c>
      <c r="I3597">
        <v>10</v>
      </c>
      <c r="M3597">
        <v>0</v>
      </c>
      <c r="N3597">
        <v>4</v>
      </c>
      <c r="O3597">
        <v>0</v>
      </c>
      <c r="P3597">
        <v>14</v>
      </c>
      <c r="Q3597">
        <v>0</v>
      </c>
      <c r="R3597">
        <v>0</v>
      </c>
      <c r="S3597">
        <v>5</v>
      </c>
      <c r="T3597">
        <v>10</v>
      </c>
      <c r="U3597">
        <v>0</v>
      </c>
      <c r="V3597">
        <v>0</v>
      </c>
      <c r="W3597">
        <v>0</v>
      </c>
      <c r="X3597">
        <v>0</v>
      </c>
      <c r="Y3597">
        <v>10</v>
      </c>
      <c r="Z3597">
        <v>0</v>
      </c>
      <c r="AA3597">
        <v>0</v>
      </c>
      <c r="AC3597">
        <v>24</v>
      </c>
    </row>
    <row r="3598" spans="1:29">
      <c r="A3598">
        <v>3591</v>
      </c>
      <c r="B3598">
        <v>4937</v>
      </c>
      <c r="C3598" t="s">
        <v>7391</v>
      </c>
      <c r="D3598" t="s">
        <v>7392</v>
      </c>
      <c r="E3598" t="s">
        <v>36</v>
      </c>
      <c r="F3598" t="s">
        <v>7393</v>
      </c>
      <c r="G3598" t="str">
        <f>"00650997"</f>
        <v>00650997</v>
      </c>
      <c r="H3598">
        <v>20.8</v>
      </c>
      <c r="I3598">
        <v>0</v>
      </c>
      <c r="M3598">
        <v>0</v>
      </c>
      <c r="N3598">
        <v>0</v>
      </c>
      <c r="O3598">
        <v>0</v>
      </c>
      <c r="P3598">
        <v>20.8</v>
      </c>
      <c r="Q3598">
        <v>0</v>
      </c>
      <c r="R3598">
        <v>0</v>
      </c>
      <c r="S3598">
        <v>0</v>
      </c>
      <c r="T3598">
        <v>0</v>
      </c>
      <c r="U3598">
        <v>0</v>
      </c>
      <c r="V3598">
        <v>0</v>
      </c>
      <c r="W3598">
        <v>0</v>
      </c>
      <c r="X3598">
        <v>0</v>
      </c>
      <c r="Y3598">
        <v>0</v>
      </c>
      <c r="Z3598">
        <v>3</v>
      </c>
      <c r="AA3598">
        <v>0</v>
      </c>
      <c r="AC3598">
        <v>23.8</v>
      </c>
    </row>
    <row r="3599" spans="1:29">
      <c r="A3599">
        <v>3592</v>
      </c>
      <c r="B3599">
        <v>842</v>
      </c>
      <c r="C3599" t="s">
        <v>7394</v>
      </c>
      <c r="D3599" t="s">
        <v>31</v>
      </c>
      <c r="E3599" t="s">
        <v>122</v>
      </c>
      <c r="F3599" t="s">
        <v>7395</v>
      </c>
      <c r="G3599" t="str">
        <f>"00514547"</f>
        <v>00514547</v>
      </c>
      <c r="H3599">
        <v>12.8</v>
      </c>
      <c r="I3599">
        <v>0</v>
      </c>
      <c r="M3599">
        <v>0</v>
      </c>
      <c r="N3599">
        <v>0</v>
      </c>
      <c r="O3599">
        <v>0</v>
      </c>
      <c r="P3599">
        <v>12.8</v>
      </c>
      <c r="Q3599">
        <v>11</v>
      </c>
      <c r="R3599">
        <v>11</v>
      </c>
      <c r="S3599">
        <v>0</v>
      </c>
      <c r="T3599">
        <v>0</v>
      </c>
      <c r="U3599">
        <v>0</v>
      </c>
      <c r="V3599">
        <v>0</v>
      </c>
      <c r="W3599">
        <v>0</v>
      </c>
      <c r="X3599">
        <v>0</v>
      </c>
      <c r="Y3599">
        <v>11</v>
      </c>
      <c r="Z3599">
        <v>0</v>
      </c>
      <c r="AA3599">
        <v>0</v>
      </c>
      <c r="AC3599">
        <v>23.8</v>
      </c>
    </row>
    <row r="3600" spans="1:29">
      <c r="A3600">
        <v>3593</v>
      </c>
      <c r="B3600">
        <v>1956</v>
      </c>
      <c r="C3600" t="s">
        <v>7396</v>
      </c>
      <c r="D3600" t="s">
        <v>31</v>
      </c>
      <c r="E3600" t="s">
        <v>187</v>
      </c>
      <c r="F3600" t="s">
        <v>7397</v>
      </c>
      <c r="G3600" t="str">
        <f>"00022977"</f>
        <v>00022977</v>
      </c>
      <c r="H3600">
        <v>23.72</v>
      </c>
      <c r="I3600">
        <v>0</v>
      </c>
      <c r="M3600">
        <v>0</v>
      </c>
      <c r="N3600">
        <v>0</v>
      </c>
      <c r="O3600">
        <v>0</v>
      </c>
      <c r="P3600">
        <v>23.72</v>
      </c>
      <c r="Q3600">
        <v>0</v>
      </c>
      <c r="R3600">
        <v>0</v>
      </c>
      <c r="S3600">
        <v>0</v>
      </c>
      <c r="T3600">
        <v>0</v>
      </c>
      <c r="U3600">
        <v>0</v>
      </c>
      <c r="V3600">
        <v>0</v>
      </c>
      <c r="W3600">
        <v>0</v>
      </c>
      <c r="X3600">
        <v>0</v>
      </c>
      <c r="Y3600">
        <v>0</v>
      </c>
      <c r="Z3600">
        <v>0</v>
      </c>
      <c r="AA3600">
        <v>0</v>
      </c>
      <c r="AC3600">
        <v>23.72</v>
      </c>
    </row>
    <row r="3601" spans="1:29">
      <c r="A3601">
        <v>3594</v>
      </c>
      <c r="B3601">
        <v>4891</v>
      </c>
      <c r="C3601" t="s">
        <v>6708</v>
      </c>
      <c r="D3601" t="s">
        <v>164</v>
      </c>
      <c r="E3601" t="s">
        <v>156</v>
      </c>
      <c r="F3601" t="s">
        <v>7398</v>
      </c>
      <c r="G3601" t="str">
        <f>"00702128"</f>
        <v>00702128</v>
      </c>
      <c r="H3601">
        <v>19.72</v>
      </c>
      <c r="I3601">
        <v>0</v>
      </c>
      <c r="M3601">
        <v>0</v>
      </c>
      <c r="N3601">
        <v>4</v>
      </c>
      <c r="O3601">
        <v>0</v>
      </c>
      <c r="P3601">
        <v>23.72</v>
      </c>
      <c r="Q3601">
        <v>0</v>
      </c>
      <c r="R3601">
        <v>0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0</v>
      </c>
      <c r="Y3601">
        <v>0</v>
      </c>
      <c r="Z3601">
        <v>0</v>
      </c>
      <c r="AA3601">
        <v>0</v>
      </c>
      <c r="AC3601">
        <v>23.72</v>
      </c>
    </row>
    <row r="3602" spans="1:29">
      <c r="A3602">
        <v>3595</v>
      </c>
      <c r="B3602">
        <v>3383</v>
      </c>
      <c r="C3602" t="s">
        <v>3468</v>
      </c>
      <c r="D3602" t="s">
        <v>251</v>
      </c>
      <c r="E3602" t="s">
        <v>18</v>
      </c>
      <c r="F3602" t="s">
        <v>7399</v>
      </c>
      <c r="G3602" t="str">
        <f>"00672697"</f>
        <v>00672697</v>
      </c>
      <c r="H3602">
        <v>19.68</v>
      </c>
      <c r="I3602">
        <v>0</v>
      </c>
      <c r="M3602">
        <v>0</v>
      </c>
      <c r="N3602">
        <v>4</v>
      </c>
      <c r="O3602">
        <v>0</v>
      </c>
      <c r="P3602">
        <v>23.68</v>
      </c>
      <c r="Q3602">
        <v>0</v>
      </c>
      <c r="R3602">
        <v>0</v>
      </c>
      <c r="S3602">
        <v>0</v>
      </c>
      <c r="T3602">
        <v>0</v>
      </c>
      <c r="U3602">
        <v>0</v>
      </c>
      <c r="V3602">
        <v>0</v>
      </c>
      <c r="W3602">
        <v>0</v>
      </c>
      <c r="X3602">
        <v>0</v>
      </c>
      <c r="Y3602">
        <v>0</v>
      </c>
      <c r="Z3602">
        <v>0</v>
      </c>
      <c r="AA3602">
        <v>0</v>
      </c>
      <c r="AC3602">
        <v>23.68</v>
      </c>
    </row>
    <row r="3603" spans="1:29">
      <c r="A3603">
        <v>3596</v>
      </c>
      <c r="B3603">
        <v>1889</v>
      </c>
      <c r="C3603" t="s">
        <v>3374</v>
      </c>
      <c r="D3603" t="s">
        <v>1370</v>
      </c>
      <c r="E3603" t="s">
        <v>304</v>
      </c>
      <c r="F3603" t="s">
        <v>7400</v>
      </c>
      <c r="G3603" t="str">
        <f>"00864941"</f>
        <v>00864941</v>
      </c>
      <c r="H3603">
        <v>23.64</v>
      </c>
      <c r="I3603">
        <v>0</v>
      </c>
      <c r="M3603">
        <v>0</v>
      </c>
      <c r="N3603">
        <v>0</v>
      </c>
      <c r="O3603">
        <v>0</v>
      </c>
      <c r="P3603">
        <v>23.64</v>
      </c>
      <c r="Q3603">
        <v>0</v>
      </c>
      <c r="R3603">
        <v>0</v>
      </c>
      <c r="S3603">
        <v>0</v>
      </c>
      <c r="T3603">
        <v>0</v>
      </c>
      <c r="U3603">
        <v>0</v>
      </c>
      <c r="V3603">
        <v>0</v>
      </c>
      <c r="W3603">
        <v>0</v>
      </c>
      <c r="X3603">
        <v>0</v>
      </c>
      <c r="Y3603">
        <v>0</v>
      </c>
      <c r="Z3603">
        <v>0</v>
      </c>
      <c r="AA3603">
        <v>0</v>
      </c>
      <c r="AC3603">
        <v>23.64</v>
      </c>
    </row>
    <row r="3604" spans="1:29">
      <c r="A3604">
        <v>3597</v>
      </c>
      <c r="B3604">
        <v>1611</v>
      </c>
      <c r="C3604" t="s">
        <v>7401</v>
      </c>
      <c r="D3604" t="s">
        <v>86</v>
      </c>
      <c r="E3604" t="s">
        <v>379</v>
      </c>
      <c r="F3604" t="s">
        <v>7402</v>
      </c>
      <c r="G3604" t="str">
        <f>"00532424"</f>
        <v>00532424</v>
      </c>
      <c r="H3604">
        <v>23.6</v>
      </c>
      <c r="I3604">
        <v>0</v>
      </c>
      <c r="M3604">
        <v>0</v>
      </c>
      <c r="N3604">
        <v>0</v>
      </c>
      <c r="O3604">
        <v>0</v>
      </c>
      <c r="P3604">
        <v>23.6</v>
      </c>
      <c r="Q3604">
        <v>0</v>
      </c>
      <c r="R3604">
        <v>0</v>
      </c>
      <c r="S3604">
        <v>0</v>
      </c>
      <c r="T3604">
        <v>0</v>
      </c>
      <c r="U3604">
        <v>0</v>
      </c>
      <c r="V3604">
        <v>0</v>
      </c>
      <c r="W3604">
        <v>0</v>
      </c>
      <c r="X3604">
        <v>0</v>
      </c>
      <c r="Y3604">
        <v>0</v>
      </c>
      <c r="Z3604">
        <v>0</v>
      </c>
      <c r="AA3604">
        <v>0</v>
      </c>
      <c r="AC3604">
        <v>23.6</v>
      </c>
    </row>
    <row r="3605" spans="1:29">
      <c r="A3605">
        <v>3598</v>
      </c>
      <c r="B3605">
        <v>2639</v>
      </c>
      <c r="C3605" t="s">
        <v>7407</v>
      </c>
      <c r="D3605" t="s">
        <v>31</v>
      </c>
      <c r="E3605" t="s">
        <v>66</v>
      </c>
      <c r="F3605" t="s">
        <v>7408</v>
      </c>
      <c r="G3605" t="str">
        <f>"00863117"</f>
        <v>00863117</v>
      </c>
      <c r="H3605">
        <v>21.6</v>
      </c>
      <c r="I3605">
        <v>0</v>
      </c>
      <c r="M3605">
        <v>0</v>
      </c>
      <c r="N3605">
        <v>0</v>
      </c>
      <c r="O3605">
        <v>2</v>
      </c>
      <c r="P3605">
        <v>23.6</v>
      </c>
      <c r="Q3605">
        <v>0</v>
      </c>
      <c r="R3605">
        <v>0</v>
      </c>
      <c r="S3605">
        <v>0</v>
      </c>
      <c r="T3605">
        <v>0</v>
      </c>
      <c r="U3605">
        <v>0</v>
      </c>
      <c r="V3605">
        <v>0</v>
      </c>
      <c r="W3605">
        <v>0</v>
      </c>
      <c r="X3605">
        <v>0</v>
      </c>
      <c r="Y3605">
        <v>0</v>
      </c>
      <c r="Z3605">
        <v>0</v>
      </c>
      <c r="AA3605">
        <v>0</v>
      </c>
      <c r="AC3605">
        <v>23.6</v>
      </c>
    </row>
    <row r="3606" spans="1:29">
      <c r="A3606">
        <v>3599</v>
      </c>
      <c r="B3606">
        <v>4060</v>
      </c>
      <c r="C3606" t="s">
        <v>7405</v>
      </c>
      <c r="D3606" t="s">
        <v>31</v>
      </c>
      <c r="E3606" t="s">
        <v>227</v>
      </c>
      <c r="F3606" t="s">
        <v>7406</v>
      </c>
      <c r="G3606" t="str">
        <f>"00863373"</f>
        <v>00863373</v>
      </c>
      <c r="H3606">
        <v>21.6</v>
      </c>
      <c r="I3606">
        <v>0</v>
      </c>
      <c r="M3606">
        <v>0</v>
      </c>
      <c r="N3606">
        <v>0</v>
      </c>
      <c r="O3606">
        <v>2</v>
      </c>
      <c r="P3606">
        <v>23.6</v>
      </c>
      <c r="Q3606">
        <v>0</v>
      </c>
      <c r="R3606">
        <v>0</v>
      </c>
      <c r="S3606">
        <v>0</v>
      </c>
      <c r="T3606">
        <v>0</v>
      </c>
      <c r="U3606">
        <v>0</v>
      </c>
      <c r="V3606">
        <v>0</v>
      </c>
      <c r="W3606">
        <v>0</v>
      </c>
      <c r="X3606">
        <v>0</v>
      </c>
      <c r="Y3606">
        <v>0</v>
      </c>
      <c r="Z3606">
        <v>0</v>
      </c>
      <c r="AA3606">
        <v>0</v>
      </c>
      <c r="AC3606">
        <v>23.6</v>
      </c>
    </row>
    <row r="3607" spans="1:29">
      <c r="A3607">
        <v>3600</v>
      </c>
      <c r="B3607">
        <v>2593</v>
      </c>
      <c r="C3607" t="s">
        <v>7403</v>
      </c>
      <c r="D3607" t="s">
        <v>27</v>
      </c>
      <c r="E3607" t="s">
        <v>79</v>
      </c>
      <c r="F3607" t="s">
        <v>7404</v>
      </c>
      <c r="G3607" t="str">
        <f>"00526643"</f>
        <v>00526643</v>
      </c>
      <c r="H3607">
        <v>21.6</v>
      </c>
      <c r="I3607">
        <v>0</v>
      </c>
      <c r="M3607">
        <v>0</v>
      </c>
      <c r="N3607">
        <v>0</v>
      </c>
      <c r="O3607">
        <v>2</v>
      </c>
      <c r="P3607">
        <v>23.6</v>
      </c>
      <c r="Q3607">
        <v>0</v>
      </c>
      <c r="R3607">
        <v>0</v>
      </c>
      <c r="S3607">
        <v>0</v>
      </c>
      <c r="T3607">
        <v>0</v>
      </c>
      <c r="U3607">
        <v>0</v>
      </c>
      <c r="V3607">
        <v>0</v>
      </c>
      <c r="W3607">
        <v>0</v>
      </c>
      <c r="X3607">
        <v>0</v>
      </c>
      <c r="Y3607">
        <v>0</v>
      </c>
      <c r="Z3607">
        <v>0</v>
      </c>
      <c r="AA3607">
        <v>0</v>
      </c>
      <c r="AC3607">
        <v>23.6</v>
      </c>
    </row>
    <row r="3608" spans="1:29">
      <c r="A3608">
        <v>3601</v>
      </c>
      <c r="B3608">
        <v>1455</v>
      </c>
      <c r="C3608" t="s">
        <v>7409</v>
      </c>
      <c r="D3608" t="s">
        <v>134</v>
      </c>
      <c r="E3608" t="s">
        <v>379</v>
      </c>
      <c r="F3608" t="s">
        <v>7410</v>
      </c>
      <c r="G3608" t="str">
        <f>"00342226"</f>
        <v>00342226</v>
      </c>
      <c r="H3608">
        <v>19.600000000000001</v>
      </c>
      <c r="I3608">
        <v>0</v>
      </c>
      <c r="M3608">
        <v>0</v>
      </c>
      <c r="N3608">
        <v>4</v>
      </c>
      <c r="O3608">
        <v>0</v>
      </c>
      <c r="P3608">
        <v>23.6</v>
      </c>
      <c r="Q3608">
        <v>0</v>
      </c>
      <c r="R3608">
        <v>0</v>
      </c>
      <c r="S3608">
        <v>0</v>
      </c>
      <c r="T3608">
        <v>0</v>
      </c>
      <c r="U3608">
        <v>0</v>
      </c>
      <c r="V3608">
        <v>0</v>
      </c>
      <c r="W3608">
        <v>0</v>
      </c>
      <c r="X3608">
        <v>0</v>
      </c>
      <c r="Y3608">
        <v>0</v>
      </c>
      <c r="Z3608">
        <v>0</v>
      </c>
      <c r="AA3608">
        <v>0</v>
      </c>
      <c r="AC3608">
        <v>23.6</v>
      </c>
    </row>
    <row r="3609" spans="1:29">
      <c r="A3609">
        <v>3602</v>
      </c>
      <c r="B3609">
        <v>1209</v>
      </c>
      <c r="C3609" t="s">
        <v>7411</v>
      </c>
      <c r="D3609" t="s">
        <v>258</v>
      </c>
      <c r="E3609" t="s">
        <v>18</v>
      </c>
      <c r="F3609" t="s">
        <v>7412</v>
      </c>
      <c r="G3609" t="str">
        <f>"00857188"</f>
        <v>00857188</v>
      </c>
      <c r="H3609">
        <v>17.440000000000001</v>
      </c>
      <c r="I3609">
        <v>0</v>
      </c>
      <c r="M3609">
        <v>0</v>
      </c>
      <c r="N3609">
        <v>0</v>
      </c>
      <c r="O3609">
        <v>0</v>
      </c>
      <c r="P3609">
        <v>17.440000000000001</v>
      </c>
      <c r="Q3609">
        <v>0</v>
      </c>
      <c r="R3609">
        <v>0</v>
      </c>
      <c r="S3609">
        <v>0</v>
      </c>
      <c r="T3609">
        <v>0</v>
      </c>
      <c r="U3609">
        <v>0</v>
      </c>
      <c r="V3609">
        <v>0</v>
      </c>
      <c r="W3609">
        <v>0</v>
      </c>
      <c r="X3609">
        <v>0</v>
      </c>
      <c r="Y3609">
        <v>0</v>
      </c>
      <c r="Z3609">
        <v>6</v>
      </c>
      <c r="AA3609">
        <v>0</v>
      </c>
      <c r="AC3609">
        <v>23.44</v>
      </c>
    </row>
    <row r="3610" spans="1:29">
      <c r="A3610">
        <v>3603</v>
      </c>
      <c r="B3610">
        <v>2647</v>
      </c>
      <c r="C3610" t="s">
        <v>636</v>
      </c>
      <c r="D3610" t="s">
        <v>27</v>
      </c>
      <c r="E3610" t="s">
        <v>1855</v>
      </c>
      <c r="F3610" t="s">
        <v>7415</v>
      </c>
      <c r="G3610" t="str">
        <f>"00778986"</f>
        <v>00778986</v>
      </c>
      <c r="H3610">
        <v>14.4</v>
      </c>
      <c r="I3610">
        <v>0</v>
      </c>
      <c r="M3610">
        <v>0</v>
      </c>
      <c r="N3610">
        <v>0</v>
      </c>
      <c r="O3610">
        <v>0</v>
      </c>
      <c r="P3610">
        <v>14.4</v>
      </c>
      <c r="Q3610">
        <v>0</v>
      </c>
      <c r="R3610">
        <v>0</v>
      </c>
      <c r="S3610">
        <v>0</v>
      </c>
      <c r="T3610">
        <v>0</v>
      </c>
      <c r="U3610">
        <v>0</v>
      </c>
      <c r="V3610">
        <v>0</v>
      </c>
      <c r="W3610">
        <v>0</v>
      </c>
      <c r="X3610">
        <v>0</v>
      </c>
      <c r="Y3610">
        <v>0</v>
      </c>
      <c r="Z3610">
        <v>9</v>
      </c>
      <c r="AA3610">
        <v>0</v>
      </c>
      <c r="AC3610">
        <v>23.4</v>
      </c>
    </row>
    <row r="3611" spans="1:29">
      <c r="A3611">
        <v>3604</v>
      </c>
      <c r="B3611">
        <v>4046</v>
      </c>
      <c r="C3611" t="s">
        <v>7416</v>
      </c>
      <c r="D3611" t="s">
        <v>1458</v>
      </c>
      <c r="E3611" t="s">
        <v>564</v>
      </c>
      <c r="F3611" t="s">
        <v>7417</v>
      </c>
      <c r="G3611" t="str">
        <f>"00518235"</f>
        <v>00518235</v>
      </c>
      <c r="H3611">
        <v>14.4</v>
      </c>
      <c r="I3611">
        <v>0</v>
      </c>
      <c r="M3611">
        <v>0</v>
      </c>
      <c r="N3611">
        <v>0</v>
      </c>
      <c r="O3611">
        <v>0</v>
      </c>
      <c r="P3611">
        <v>14.4</v>
      </c>
      <c r="Q3611">
        <v>0</v>
      </c>
      <c r="R3611">
        <v>0</v>
      </c>
      <c r="S3611">
        <v>0</v>
      </c>
      <c r="T3611">
        <v>0</v>
      </c>
      <c r="U3611">
        <v>0</v>
      </c>
      <c r="V3611">
        <v>0</v>
      </c>
      <c r="W3611">
        <v>0</v>
      </c>
      <c r="X3611">
        <v>0</v>
      </c>
      <c r="Y3611">
        <v>0</v>
      </c>
      <c r="Z3611">
        <v>9</v>
      </c>
      <c r="AA3611">
        <v>0</v>
      </c>
      <c r="AC3611">
        <v>23.4</v>
      </c>
    </row>
    <row r="3612" spans="1:29">
      <c r="A3612">
        <v>3605</v>
      </c>
      <c r="B3612">
        <v>2756</v>
      </c>
      <c r="C3612" t="s">
        <v>7413</v>
      </c>
      <c r="D3612" t="s">
        <v>1299</v>
      </c>
      <c r="E3612" t="s">
        <v>187</v>
      </c>
      <c r="F3612" t="s">
        <v>7414</v>
      </c>
      <c r="G3612" t="str">
        <f>"00560392"</f>
        <v>00560392</v>
      </c>
      <c r="H3612">
        <v>14.4</v>
      </c>
      <c r="I3612">
        <v>0</v>
      </c>
      <c r="M3612">
        <v>0</v>
      </c>
      <c r="N3612">
        <v>0</v>
      </c>
      <c r="O3612">
        <v>0</v>
      </c>
      <c r="P3612">
        <v>14.4</v>
      </c>
      <c r="Q3612">
        <v>0</v>
      </c>
      <c r="R3612">
        <v>0</v>
      </c>
      <c r="S3612">
        <v>0</v>
      </c>
      <c r="T3612">
        <v>0</v>
      </c>
      <c r="U3612">
        <v>0</v>
      </c>
      <c r="V3612">
        <v>0</v>
      </c>
      <c r="W3612">
        <v>0</v>
      </c>
      <c r="X3612">
        <v>0</v>
      </c>
      <c r="Y3612">
        <v>0</v>
      </c>
      <c r="Z3612">
        <v>9</v>
      </c>
      <c r="AA3612">
        <v>0</v>
      </c>
      <c r="AC3612">
        <v>23.4</v>
      </c>
    </row>
    <row r="3613" spans="1:29">
      <c r="A3613">
        <v>3606</v>
      </c>
      <c r="B3613">
        <v>4824</v>
      </c>
      <c r="C3613" t="s">
        <v>7419</v>
      </c>
      <c r="D3613" t="s">
        <v>2848</v>
      </c>
      <c r="E3613" t="s">
        <v>15</v>
      </c>
      <c r="F3613" t="s">
        <v>7420</v>
      </c>
      <c r="G3613" t="str">
        <f>"00866422"</f>
        <v>00866422</v>
      </c>
      <c r="H3613">
        <v>14.4</v>
      </c>
      <c r="I3613">
        <v>0</v>
      </c>
      <c r="M3613">
        <v>0</v>
      </c>
      <c r="N3613">
        <v>4</v>
      </c>
      <c r="O3613">
        <v>2</v>
      </c>
      <c r="P3613">
        <v>20.399999999999999</v>
      </c>
      <c r="Q3613">
        <v>0</v>
      </c>
      <c r="R3613">
        <v>0</v>
      </c>
      <c r="S3613">
        <v>0</v>
      </c>
      <c r="T3613">
        <v>0</v>
      </c>
      <c r="U3613">
        <v>0</v>
      </c>
      <c r="V3613">
        <v>0</v>
      </c>
      <c r="W3613">
        <v>0</v>
      </c>
      <c r="X3613">
        <v>0</v>
      </c>
      <c r="Y3613">
        <v>0</v>
      </c>
      <c r="Z3613">
        <v>3</v>
      </c>
      <c r="AA3613">
        <v>0</v>
      </c>
      <c r="AC3613">
        <v>23.4</v>
      </c>
    </row>
    <row r="3614" spans="1:29">
      <c r="A3614">
        <v>3607</v>
      </c>
      <c r="B3614">
        <v>14</v>
      </c>
      <c r="C3614" t="s">
        <v>178</v>
      </c>
      <c r="D3614" t="s">
        <v>175</v>
      </c>
      <c r="E3614" t="s">
        <v>134</v>
      </c>
      <c r="F3614" t="s">
        <v>7418</v>
      </c>
      <c r="G3614" t="str">
        <f>"00840490"</f>
        <v>00840490</v>
      </c>
      <c r="H3614">
        <v>14.4</v>
      </c>
      <c r="I3614">
        <v>0</v>
      </c>
      <c r="M3614">
        <v>0</v>
      </c>
      <c r="N3614">
        <v>4</v>
      </c>
      <c r="O3614">
        <v>2</v>
      </c>
      <c r="P3614">
        <v>20.399999999999999</v>
      </c>
      <c r="Q3614">
        <v>0</v>
      </c>
      <c r="R3614">
        <v>0</v>
      </c>
      <c r="S3614">
        <v>0</v>
      </c>
      <c r="T3614">
        <v>0</v>
      </c>
      <c r="U3614">
        <v>0</v>
      </c>
      <c r="V3614">
        <v>0</v>
      </c>
      <c r="W3614">
        <v>0</v>
      </c>
      <c r="X3614">
        <v>0</v>
      </c>
      <c r="Y3614">
        <v>0</v>
      </c>
      <c r="Z3614">
        <v>3</v>
      </c>
      <c r="AA3614">
        <v>0</v>
      </c>
      <c r="AC3614">
        <v>23.4</v>
      </c>
    </row>
    <row r="3615" spans="1:29">
      <c r="A3615">
        <v>3608</v>
      </c>
      <c r="B3615">
        <v>4491</v>
      </c>
      <c r="C3615" t="s">
        <v>7421</v>
      </c>
      <c r="D3615" t="s">
        <v>279</v>
      </c>
      <c r="E3615" t="s">
        <v>134</v>
      </c>
      <c r="F3615" t="s">
        <v>7422</v>
      </c>
      <c r="G3615" t="str">
        <f>"00863735"</f>
        <v>00863735</v>
      </c>
      <c r="H3615">
        <v>17.32</v>
      </c>
      <c r="I3615">
        <v>0</v>
      </c>
      <c r="M3615">
        <v>0</v>
      </c>
      <c r="N3615">
        <v>0</v>
      </c>
      <c r="O3615">
        <v>0</v>
      </c>
      <c r="P3615">
        <v>17.32</v>
      </c>
      <c r="Q3615">
        <v>0</v>
      </c>
      <c r="R3615">
        <v>0</v>
      </c>
      <c r="S3615">
        <v>0</v>
      </c>
      <c r="T3615">
        <v>0</v>
      </c>
      <c r="U3615">
        <v>0</v>
      </c>
      <c r="V3615">
        <v>0</v>
      </c>
      <c r="W3615">
        <v>0</v>
      </c>
      <c r="X3615">
        <v>0</v>
      </c>
      <c r="Y3615">
        <v>0</v>
      </c>
      <c r="Z3615">
        <v>6</v>
      </c>
      <c r="AA3615">
        <v>0</v>
      </c>
      <c r="AC3615">
        <v>23.32</v>
      </c>
    </row>
    <row r="3616" spans="1:29">
      <c r="A3616">
        <v>3609</v>
      </c>
      <c r="B3616">
        <v>3066</v>
      </c>
      <c r="C3616" t="s">
        <v>7426</v>
      </c>
      <c r="D3616" t="s">
        <v>113</v>
      </c>
      <c r="E3616" t="s">
        <v>379</v>
      </c>
      <c r="F3616" t="s">
        <v>7427</v>
      </c>
      <c r="G3616" t="str">
        <f>"00637118"</f>
        <v>00637118</v>
      </c>
      <c r="H3616">
        <v>7.2</v>
      </c>
      <c r="I3616">
        <v>0</v>
      </c>
      <c r="L3616">
        <v>4</v>
      </c>
      <c r="M3616">
        <v>4</v>
      </c>
      <c r="N3616">
        <v>4</v>
      </c>
      <c r="O3616">
        <v>2</v>
      </c>
      <c r="P3616">
        <v>17.2</v>
      </c>
      <c r="Q3616">
        <v>0</v>
      </c>
      <c r="R3616">
        <v>0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0</v>
      </c>
      <c r="Y3616">
        <v>0</v>
      </c>
      <c r="Z3616">
        <v>6</v>
      </c>
      <c r="AA3616">
        <v>0</v>
      </c>
      <c r="AC3616">
        <v>23.2</v>
      </c>
    </row>
    <row r="3617" spans="1:29">
      <c r="A3617">
        <v>3610</v>
      </c>
      <c r="B3617">
        <v>1903</v>
      </c>
      <c r="C3617" t="s">
        <v>2673</v>
      </c>
      <c r="D3617" t="s">
        <v>643</v>
      </c>
      <c r="E3617" t="s">
        <v>79</v>
      </c>
      <c r="F3617" t="s">
        <v>7425</v>
      </c>
      <c r="G3617" t="str">
        <f>"201406006592"</f>
        <v>201406006592</v>
      </c>
      <c r="H3617">
        <v>7.2</v>
      </c>
      <c r="I3617">
        <v>0</v>
      </c>
      <c r="L3617">
        <v>4</v>
      </c>
      <c r="M3617">
        <v>4</v>
      </c>
      <c r="N3617">
        <v>4</v>
      </c>
      <c r="O3617">
        <v>2</v>
      </c>
      <c r="P3617">
        <v>17.2</v>
      </c>
      <c r="Q3617">
        <v>0</v>
      </c>
      <c r="R3617">
        <v>0</v>
      </c>
      <c r="S3617">
        <v>0</v>
      </c>
      <c r="T3617">
        <v>0</v>
      </c>
      <c r="U3617">
        <v>0</v>
      </c>
      <c r="V3617">
        <v>0</v>
      </c>
      <c r="W3617">
        <v>0</v>
      </c>
      <c r="X3617">
        <v>0</v>
      </c>
      <c r="Y3617">
        <v>0</v>
      </c>
      <c r="Z3617">
        <v>6</v>
      </c>
      <c r="AA3617">
        <v>0</v>
      </c>
      <c r="AC3617">
        <v>23.2</v>
      </c>
    </row>
    <row r="3618" spans="1:29">
      <c r="A3618">
        <v>3611</v>
      </c>
      <c r="B3618">
        <v>4379</v>
      </c>
      <c r="C3618" t="s">
        <v>7423</v>
      </c>
      <c r="D3618" t="s">
        <v>1958</v>
      </c>
      <c r="E3618" t="s">
        <v>211</v>
      </c>
      <c r="F3618" t="s">
        <v>7424</v>
      </c>
      <c r="G3618" t="str">
        <f>"00863169"</f>
        <v>00863169</v>
      </c>
      <c r="H3618">
        <v>7.2</v>
      </c>
      <c r="I3618">
        <v>0</v>
      </c>
      <c r="L3618">
        <v>4</v>
      </c>
      <c r="M3618">
        <v>4</v>
      </c>
      <c r="N3618">
        <v>4</v>
      </c>
      <c r="O3618">
        <v>2</v>
      </c>
      <c r="P3618">
        <v>17.2</v>
      </c>
      <c r="Q3618">
        <v>0</v>
      </c>
      <c r="R3618">
        <v>0</v>
      </c>
      <c r="S3618">
        <v>0</v>
      </c>
      <c r="T3618">
        <v>0</v>
      </c>
      <c r="U3618">
        <v>0</v>
      </c>
      <c r="V3618">
        <v>0</v>
      </c>
      <c r="W3618">
        <v>0</v>
      </c>
      <c r="X3618">
        <v>0</v>
      </c>
      <c r="Y3618">
        <v>0</v>
      </c>
      <c r="Z3618">
        <v>6</v>
      </c>
      <c r="AA3618">
        <v>0</v>
      </c>
      <c r="AC3618">
        <v>23.2</v>
      </c>
    </row>
    <row r="3619" spans="1:29">
      <c r="A3619">
        <v>3612</v>
      </c>
      <c r="B3619">
        <v>2699</v>
      </c>
      <c r="C3619" t="s">
        <v>5963</v>
      </c>
      <c r="D3619" t="s">
        <v>1278</v>
      </c>
      <c r="E3619" t="s">
        <v>156</v>
      </c>
      <c r="F3619" t="s">
        <v>7428</v>
      </c>
      <c r="G3619" t="str">
        <f>"00588592"</f>
        <v>00588592</v>
      </c>
      <c r="H3619">
        <v>19.2</v>
      </c>
      <c r="I3619">
        <v>0</v>
      </c>
      <c r="M3619">
        <v>0</v>
      </c>
      <c r="N3619">
        <v>4</v>
      </c>
      <c r="O3619">
        <v>0</v>
      </c>
      <c r="P3619">
        <v>23.2</v>
      </c>
      <c r="Q3619">
        <v>0</v>
      </c>
      <c r="R3619">
        <v>0</v>
      </c>
      <c r="S3619">
        <v>0</v>
      </c>
      <c r="T3619">
        <v>0</v>
      </c>
      <c r="U3619">
        <v>0</v>
      </c>
      <c r="V3619">
        <v>0</v>
      </c>
      <c r="W3619">
        <v>0</v>
      </c>
      <c r="X3619">
        <v>0</v>
      </c>
      <c r="Y3619">
        <v>0</v>
      </c>
      <c r="Z3619">
        <v>0</v>
      </c>
      <c r="AA3619">
        <v>0</v>
      </c>
      <c r="AC3619">
        <v>23.2</v>
      </c>
    </row>
    <row r="3620" spans="1:29">
      <c r="A3620">
        <v>3613</v>
      </c>
      <c r="B3620">
        <v>1137</v>
      </c>
      <c r="C3620" t="s">
        <v>7429</v>
      </c>
      <c r="D3620" t="s">
        <v>4258</v>
      </c>
      <c r="E3620" t="s">
        <v>15</v>
      </c>
      <c r="F3620" t="s">
        <v>7430</v>
      </c>
      <c r="G3620" t="str">
        <f>"00858447"</f>
        <v>00858447</v>
      </c>
      <c r="H3620">
        <v>7.2</v>
      </c>
      <c r="I3620">
        <v>10</v>
      </c>
      <c r="M3620">
        <v>0</v>
      </c>
      <c r="N3620">
        <v>4</v>
      </c>
      <c r="O3620">
        <v>2</v>
      </c>
      <c r="P3620">
        <v>23.2</v>
      </c>
      <c r="Q3620">
        <v>0</v>
      </c>
      <c r="R3620">
        <v>0</v>
      </c>
      <c r="S3620">
        <v>0</v>
      </c>
      <c r="T3620">
        <v>0</v>
      </c>
      <c r="U3620">
        <v>0</v>
      </c>
      <c r="V3620">
        <v>0</v>
      </c>
      <c r="W3620">
        <v>0</v>
      </c>
      <c r="X3620">
        <v>0</v>
      </c>
      <c r="Y3620">
        <v>0</v>
      </c>
      <c r="Z3620">
        <v>0</v>
      </c>
      <c r="AA3620">
        <v>0</v>
      </c>
      <c r="AC3620">
        <v>23.2</v>
      </c>
    </row>
    <row r="3621" spans="1:29">
      <c r="A3621">
        <v>3614</v>
      </c>
      <c r="B3621">
        <v>2433</v>
      </c>
      <c r="C3621" t="s">
        <v>7431</v>
      </c>
      <c r="D3621" t="s">
        <v>24</v>
      </c>
      <c r="E3621" t="s">
        <v>36</v>
      </c>
      <c r="F3621" t="s">
        <v>7432</v>
      </c>
      <c r="G3621" t="str">
        <f>"00530353"</f>
        <v>00530353</v>
      </c>
      <c r="H3621">
        <v>7.2</v>
      </c>
      <c r="I3621">
        <v>0</v>
      </c>
      <c r="M3621">
        <v>0</v>
      </c>
      <c r="N3621">
        <v>0</v>
      </c>
      <c r="O3621">
        <v>0</v>
      </c>
      <c r="P3621">
        <v>7.2</v>
      </c>
      <c r="Q3621">
        <v>0</v>
      </c>
      <c r="R3621">
        <v>0</v>
      </c>
      <c r="S3621">
        <v>5</v>
      </c>
      <c r="T3621">
        <v>10</v>
      </c>
      <c r="U3621">
        <v>4</v>
      </c>
      <c r="V3621">
        <v>6</v>
      </c>
      <c r="W3621">
        <v>0</v>
      </c>
      <c r="X3621">
        <v>0</v>
      </c>
      <c r="Y3621">
        <v>16</v>
      </c>
      <c r="Z3621">
        <v>0</v>
      </c>
      <c r="AA3621">
        <v>0</v>
      </c>
      <c r="AC3621">
        <v>23.2</v>
      </c>
    </row>
    <row r="3622" spans="1:29">
      <c r="A3622">
        <v>3615</v>
      </c>
      <c r="B3622">
        <v>1211</v>
      </c>
      <c r="C3622" t="s">
        <v>770</v>
      </c>
      <c r="D3622" t="s">
        <v>17</v>
      </c>
      <c r="E3622" t="s">
        <v>134</v>
      </c>
      <c r="F3622" t="s">
        <v>7433</v>
      </c>
      <c r="G3622" t="str">
        <f>"00556167"</f>
        <v>00556167</v>
      </c>
      <c r="H3622">
        <v>23.12</v>
      </c>
      <c r="I3622">
        <v>0</v>
      </c>
      <c r="M3622">
        <v>0</v>
      </c>
      <c r="N3622">
        <v>0</v>
      </c>
      <c r="O3622">
        <v>0</v>
      </c>
      <c r="P3622">
        <v>23.12</v>
      </c>
      <c r="Q3622">
        <v>0</v>
      </c>
      <c r="R3622">
        <v>0</v>
      </c>
      <c r="S3622">
        <v>0</v>
      </c>
      <c r="T3622">
        <v>0</v>
      </c>
      <c r="U3622">
        <v>0</v>
      </c>
      <c r="V3622">
        <v>0</v>
      </c>
      <c r="W3622">
        <v>0</v>
      </c>
      <c r="X3622">
        <v>0</v>
      </c>
      <c r="Y3622">
        <v>0</v>
      </c>
      <c r="Z3622">
        <v>0</v>
      </c>
      <c r="AA3622">
        <v>0</v>
      </c>
      <c r="AC3622">
        <v>23.12</v>
      </c>
    </row>
    <row r="3623" spans="1:29">
      <c r="A3623">
        <v>3616</v>
      </c>
      <c r="B3623">
        <v>42</v>
      </c>
      <c r="C3623" t="s">
        <v>7434</v>
      </c>
      <c r="D3623" t="s">
        <v>27</v>
      </c>
      <c r="E3623" t="s">
        <v>7435</v>
      </c>
      <c r="F3623" t="s">
        <v>7436</v>
      </c>
      <c r="G3623" t="str">
        <f>"00480436"</f>
        <v>00480436</v>
      </c>
      <c r="H3623">
        <v>0</v>
      </c>
      <c r="I3623">
        <v>0</v>
      </c>
      <c r="J3623">
        <v>8</v>
      </c>
      <c r="M3623">
        <v>8</v>
      </c>
      <c r="N3623">
        <v>4</v>
      </c>
      <c r="O3623">
        <v>2</v>
      </c>
      <c r="P3623">
        <v>14</v>
      </c>
      <c r="Q3623">
        <v>0</v>
      </c>
      <c r="R3623">
        <v>0</v>
      </c>
      <c r="S3623">
        <v>0</v>
      </c>
      <c r="T3623">
        <v>0</v>
      </c>
      <c r="U3623">
        <v>0</v>
      </c>
      <c r="V3623">
        <v>0</v>
      </c>
      <c r="W3623">
        <v>0</v>
      </c>
      <c r="X3623">
        <v>0</v>
      </c>
      <c r="Y3623">
        <v>0</v>
      </c>
      <c r="Z3623">
        <v>9</v>
      </c>
      <c r="AA3623">
        <v>0</v>
      </c>
      <c r="AC3623">
        <v>23</v>
      </c>
    </row>
    <row r="3624" spans="1:29">
      <c r="A3624">
        <v>3617</v>
      </c>
      <c r="B3624">
        <v>788</v>
      </c>
      <c r="C3624" t="s">
        <v>4118</v>
      </c>
      <c r="D3624" t="s">
        <v>52</v>
      </c>
      <c r="E3624" t="s">
        <v>66</v>
      </c>
      <c r="F3624" t="s">
        <v>7437</v>
      </c>
      <c r="G3624" t="str">
        <f>"00495314"</f>
        <v>00495314</v>
      </c>
      <c r="H3624">
        <v>0</v>
      </c>
      <c r="I3624">
        <v>0</v>
      </c>
      <c r="L3624">
        <v>4</v>
      </c>
      <c r="M3624">
        <v>4</v>
      </c>
      <c r="N3624">
        <v>0</v>
      </c>
      <c r="O3624">
        <v>2</v>
      </c>
      <c r="P3624">
        <v>6</v>
      </c>
      <c r="Q3624">
        <v>11</v>
      </c>
      <c r="R3624">
        <v>11</v>
      </c>
      <c r="S3624">
        <v>0</v>
      </c>
      <c r="T3624">
        <v>0</v>
      </c>
      <c r="U3624">
        <v>0</v>
      </c>
      <c r="V3624">
        <v>0</v>
      </c>
      <c r="W3624">
        <v>0</v>
      </c>
      <c r="X3624">
        <v>0</v>
      </c>
      <c r="Y3624">
        <v>11</v>
      </c>
      <c r="Z3624">
        <v>6</v>
      </c>
      <c r="AA3624">
        <v>0</v>
      </c>
      <c r="AC3624">
        <v>23</v>
      </c>
    </row>
    <row r="3625" spans="1:29">
      <c r="A3625">
        <v>3618</v>
      </c>
      <c r="B3625">
        <v>3879</v>
      </c>
      <c r="C3625" t="s">
        <v>7438</v>
      </c>
      <c r="D3625" t="s">
        <v>141</v>
      </c>
      <c r="E3625" t="s">
        <v>156</v>
      </c>
      <c r="F3625" t="s">
        <v>7439</v>
      </c>
      <c r="G3625" t="str">
        <f>"00513683"</f>
        <v>00513683</v>
      </c>
      <c r="H3625">
        <v>18</v>
      </c>
      <c r="I3625">
        <v>0</v>
      </c>
      <c r="M3625">
        <v>0</v>
      </c>
      <c r="N3625">
        <v>0</v>
      </c>
      <c r="O3625">
        <v>2</v>
      </c>
      <c r="P3625">
        <v>20</v>
      </c>
      <c r="Q3625">
        <v>0</v>
      </c>
      <c r="R3625">
        <v>0</v>
      </c>
      <c r="S3625">
        <v>0</v>
      </c>
      <c r="T3625">
        <v>0</v>
      </c>
      <c r="U3625">
        <v>0</v>
      </c>
      <c r="V3625">
        <v>0</v>
      </c>
      <c r="W3625">
        <v>0</v>
      </c>
      <c r="X3625">
        <v>0</v>
      </c>
      <c r="Y3625">
        <v>0</v>
      </c>
      <c r="Z3625">
        <v>3</v>
      </c>
      <c r="AA3625">
        <v>0</v>
      </c>
      <c r="AC3625">
        <v>23</v>
      </c>
    </row>
    <row r="3626" spans="1:29">
      <c r="A3626">
        <v>3619</v>
      </c>
      <c r="B3626">
        <v>2309</v>
      </c>
      <c r="C3626" t="s">
        <v>7440</v>
      </c>
      <c r="D3626" t="s">
        <v>784</v>
      </c>
      <c r="E3626" t="s">
        <v>18</v>
      </c>
      <c r="F3626" t="s">
        <v>7441</v>
      </c>
      <c r="G3626" t="str">
        <f>"00529807"</f>
        <v>00529807</v>
      </c>
      <c r="H3626">
        <v>0</v>
      </c>
      <c r="I3626">
        <v>10</v>
      </c>
      <c r="L3626">
        <v>4</v>
      </c>
      <c r="M3626">
        <v>4</v>
      </c>
      <c r="N3626">
        <v>4</v>
      </c>
      <c r="O3626">
        <v>0</v>
      </c>
      <c r="P3626">
        <v>18</v>
      </c>
      <c r="Q3626">
        <v>2</v>
      </c>
      <c r="R3626">
        <v>2</v>
      </c>
      <c r="S3626">
        <v>0</v>
      </c>
      <c r="T3626">
        <v>0</v>
      </c>
      <c r="U3626">
        <v>0</v>
      </c>
      <c r="V3626">
        <v>0</v>
      </c>
      <c r="W3626">
        <v>0</v>
      </c>
      <c r="X3626">
        <v>0</v>
      </c>
      <c r="Y3626">
        <v>2</v>
      </c>
      <c r="Z3626">
        <v>3</v>
      </c>
      <c r="AA3626">
        <v>0</v>
      </c>
      <c r="AC3626">
        <v>23</v>
      </c>
    </row>
    <row r="3627" spans="1:29">
      <c r="A3627">
        <v>3620</v>
      </c>
      <c r="B3627">
        <v>2331</v>
      </c>
      <c r="C3627" t="s">
        <v>3902</v>
      </c>
      <c r="D3627" t="s">
        <v>4794</v>
      </c>
      <c r="E3627" t="s">
        <v>66</v>
      </c>
      <c r="F3627" t="s">
        <v>7442</v>
      </c>
      <c r="G3627" t="str">
        <f>"00531903"</f>
        <v>00531903</v>
      </c>
      <c r="H3627">
        <v>9</v>
      </c>
      <c r="I3627">
        <v>0</v>
      </c>
      <c r="M3627">
        <v>0</v>
      </c>
      <c r="N3627">
        <v>4</v>
      </c>
      <c r="O3627">
        <v>2</v>
      </c>
      <c r="P3627">
        <v>15</v>
      </c>
      <c r="Q3627">
        <v>5</v>
      </c>
      <c r="R3627">
        <v>5</v>
      </c>
      <c r="S3627">
        <v>0</v>
      </c>
      <c r="T3627">
        <v>0</v>
      </c>
      <c r="U3627">
        <v>0</v>
      </c>
      <c r="V3627">
        <v>0</v>
      </c>
      <c r="W3627">
        <v>0</v>
      </c>
      <c r="X3627">
        <v>0</v>
      </c>
      <c r="Y3627">
        <v>5</v>
      </c>
      <c r="Z3627">
        <v>3</v>
      </c>
      <c r="AA3627">
        <v>0</v>
      </c>
      <c r="AC3627">
        <v>23</v>
      </c>
    </row>
    <row r="3628" spans="1:29">
      <c r="A3628">
        <v>3621</v>
      </c>
      <c r="B3628">
        <v>2986</v>
      </c>
      <c r="C3628" t="s">
        <v>7443</v>
      </c>
      <c r="D3628" t="s">
        <v>4882</v>
      </c>
      <c r="E3628" t="s">
        <v>379</v>
      </c>
      <c r="F3628" t="s">
        <v>7444</v>
      </c>
      <c r="G3628" t="str">
        <f>"00472220"</f>
        <v>00472220</v>
      </c>
      <c r="H3628">
        <v>0</v>
      </c>
      <c r="I3628">
        <v>0</v>
      </c>
      <c r="L3628">
        <v>4</v>
      </c>
      <c r="M3628">
        <v>4</v>
      </c>
      <c r="N3628">
        <v>4</v>
      </c>
      <c r="O3628">
        <v>0</v>
      </c>
      <c r="P3628">
        <v>8</v>
      </c>
      <c r="Q3628">
        <v>12</v>
      </c>
      <c r="R3628">
        <v>12</v>
      </c>
      <c r="S3628">
        <v>0</v>
      </c>
      <c r="T3628">
        <v>0</v>
      </c>
      <c r="U3628">
        <v>0</v>
      </c>
      <c r="V3628">
        <v>0</v>
      </c>
      <c r="W3628">
        <v>0</v>
      </c>
      <c r="X3628">
        <v>0</v>
      </c>
      <c r="Y3628">
        <v>12</v>
      </c>
      <c r="Z3628">
        <v>3</v>
      </c>
      <c r="AA3628">
        <v>0</v>
      </c>
      <c r="AC3628">
        <v>23</v>
      </c>
    </row>
    <row r="3629" spans="1:29">
      <c r="A3629">
        <v>3622</v>
      </c>
      <c r="B3629">
        <v>4832</v>
      </c>
      <c r="C3629" t="s">
        <v>5643</v>
      </c>
      <c r="D3629" t="s">
        <v>7445</v>
      </c>
      <c r="E3629" t="s">
        <v>134</v>
      </c>
      <c r="F3629" t="s">
        <v>7446</v>
      </c>
      <c r="G3629" t="str">
        <f>"00560662"</f>
        <v>00560662</v>
      </c>
      <c r="H3629">
        <v>22.8</v>
      </c>
      <c r="I3629">
        <v>0</v>
      </c>
      <c r="M3629">
        <v>0</v>
      </c>
      <c r="N3629">
        <v>0</v>
      </c>
      <c r="O3629">
        <v>0</v>
      </c>
      <c r="P3629">
        <v>22.8</v>
      </c>
      <c r="Q3629">
        <v>0</v>
      </c>
      <c r="R3629">
        <v>0</v>
      </c>
      <c r="S3629">
        <v>0</v>
      </c>
      <c r="T3629">
        <v>0</v>
      </c>
      <c r="U3629">
        <v>0</v>
      </c>
      <c r="V3629">
        <v>0</v>
      </c>
      <c r="W3629">
        <v>0</v>
      </c>
      <c r="X3629">
        <v>0</v>
      </c>
      <c r="Y3629">
        <v>0</v>
      </c>
      <c r="Z3629">
        <v>0</v>
      </c>
      <c r="AA3629">
        <v>0</v>
      </c>
      <c r="AC3629">
        <v>22.8</v>
      </c>
    </row>
    <row r="3630" spans="1:29">
      <c r="A3630">
        <v>3623</v>
      </c>
      <c r="B3630">
        <v>4877</v>
      </c>
      <c r="C3630" t="s">
        <v>852</v>
      </c>
      <c r="D3630" t="s">
        <v>27</v>
      </c>
      <c r="E3630" t="s">
        <v>79</v>
      </c>
      <c r="F3630" t="s">
        <v>7447</v>
      </c>
      <c r="G3630" t="str">
        <f>"00865671"</f>
        <v>00865671</v>
      </c>
      <c r="H3630">
        <v>14.8</v>
      </c>
      <c r="I3630">
        <v>0</v>
      </c>
      <c r="L3630">
        <v>4</v>
      </c>
      <c r="M3630">
        <v>4</v>
      </c>
      <c r="N3630">
        <v>4</v>
      </c>
      <c r="O3630">
        <v>0</v>
      </c>
      <c r="P3630">
        <v>22.8</v>
      </c>
      <c r="Q3630">
        <v>0</v>
      </c>
      <c r="R3630">
        <v>0</v>
      </c>
      <c r="S3630">
        <v>0</v>
      </c>
      <c r="T3630">
        <v>0</v>
      </c>
      <c r="U3630">
        <v>0</v>
      </c>
      <c r="V3630">
        <v>0</v>
      </c>
      <c r="W3630">
        <v>0</v>
      </c>
      <c r="X3630">
        <v>0</v>
      </c>
      <c r="Y3630">
        <v>0</v>
      </c>
      <c r="Z3630">
        <v>0</v>
      </c>
      <c r="AA3630">
        <v>0</v>
      </c>
      <c r="AC3630">
        <v>22.8</v>
      </c>
    </row>
    <row r="3631" spans="1:29">
      <c r="A3631">
        <v>3624</v>
      </c>
      <c r="B3631">
        <v>4653</v>
      </c>
      <c r="C3631" t="s">
        <v>7448</v>
      </c>
      <c r="D3631" t="s">
        <v>108</v>
      </c>
      <c r="E3631" t="s">
        <v>237</v>
      </c>
      <c r="F3631" t="s">
        <v>7449</v>
      </c>
      <c r="G3631" t="str">
        <f>"00766853"</f>
        <v>00766853</v>
      </c>
      <c r="H3631">
        <v>18.48</v>
      </c>
      <c r="I3631">
        <v>0</v>
      </c>
      <c r="M3631">
        <v>0</v>
      </c>
      <c r="N3631">
        <v>4</v>
      </c>
      <c r="O3631">
        <v>0</v>
      </c>
      <c r="P3631">
        <v>22.48</v>
      </c>
      <c r="Q3631">
        <v>0</v>
      </c>
      <c r="R3631">
        <v>0</v>
      </c>
      <c r="S3631">
        <v>0</v>
      </c>
      <c r="T3631">
        <v>0</v>
      </c>
      <c r="U3631">
        <v>0</v>
      </c>
      <c r="V3631">
        <v>0</v>
      </c>
      <c r="W3631">
        <v>0</v>
      </c>
      <c r="X3631">
        <v>0</v>
      </c>
      <c r="Y3631">
        <v>0</v>
      </c>
      <c r="Z3631">
        <v>0</v>
      </c>
      <c r="AA3631">
        <v>0</v>
      </c>
      <c r="AC3631">
        <v>22.48</v>
      </c>
    </row>
    <row r="3632" spans="1:29">
      <c r="A3632">
        <v>3625</v>
      </c>
      <c r="B3632">
        <v>2509</v>
      </c>
      <c r="C3632" t="s">
        <v>1605</v>
      </c>
      <c r="D3632" t="s">
        <v>27</v>
      </c>
      <c r="E3632" t="s">
        <v>134</v>
      </c>
      <c r="F3632" t="s">
        <v>7450</v>
      </c>
      <c r="G3632" t="str">
        <f>"00865677"</f>
        <v>00865677</v>
      </c>
      <c r="H3632">
        <v>12.4</v>
      </c>
      <c r="I3632">
        <v>0</v>
      </c>
      <c r="M3632">
        <v>0</v>
      </c>
      <c r="N3632">
        <v>4</v>
      </c>
      <c r="O3632">
        <v>0</v>
      </c>
      <c r="P3632">
        <v>16.399999999999999</v>
      </c>
      <c r="Q3632">
        <v>0</v>
      </c>
      <c r="R3632">
        <v>0</v>
      </c>
      <c r="S3632">
        <v>0</v>
      </c>
      <c r="T3632">
        <v>0</v>
      </c>
      <c r="U3632">
        <v>0</v>
      </c>
      <c r="V3632">
        <v>0</v>
      </c>
      <c r="W3632">
        <v>0</v>
      </c>
      <c r="X3632">
        <v>0</v>
      </c>
      <c r="Y3632">
        <v>0</v>
      </c>
      <c r="Z3632">
        <v>6</v>
      </c>
      <c r="AA3632">
        <v>0</v>
      </c>
      <c r="AC3632">
        <v>22.4</v>
      </c>
    </row>
    <row r="3633" spans="1:29">
      <c r="A3633">
        <v>3626</v>
      </c>
      <c r="B3633">
        <v>4299</v>
      </c>
      <c r="C3633" t="s">
        <v>7451</v>
      </c>
      <c r="D3633" t="s">
        <v>784</v>
      </c>
      <c r="E3633" t="s">
        <v>337</v>
      </c>
      <c r="F3633" t="s">
        <v>7452</v>
      </c>
      <c r="G3633" t="str">
        <f>"00863249"</f>
        <v>00863249</v>
      </c>
      <c r="H3633">
        <v>22.4</v>
      </c>
      <c r="I3633">
        <v>0</v>
      </c>
      <c r="M3633">
        <v>0</v>
      </c>
      <c r="N3633">
        <v>0</v>
      </c>
      <c r="O3633">
        <v>0</v>
      </c>
      <c r="P3633">
        <v>22.4</v>
      </c>
      <c r="Q3633">
        <v>0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0</v>
      </c>
      <c r="X3633">
        <v>0</v>
      </c>
      <c r="Y3633">
        <v>0</v>
      </c>
      <c r="Z3633">
        <v>0</v>
      </c>
      <c r="AA3633">
        <v>0</v>
      </c>
      <c r="AC3633">
        <v>22.4</v>
      </c>
    </row>
    <row r="3634" spans="1:29">
      <c r="A3634">
        <v>3627</v>
      </c>
      <c r="B3634">
        <v>478</v>
      </c>
      <c r="C3634" t="s">
        <v>7453</v>
      </c>
      <c r="D3634" t="s">
        <v>1816</v>
      </c>
      <c r="E3634" t="s">
        <v>889</v>
      </c>
      <c r="F3634" t="s">
        <v>7454</v>
      </c>
      <c r="G3634" t="str">
        <f>"00854905"</f>
        <v>00854905</v>
      </c>
      <c r="H3634">
        <v>22.4</v>
      </c>
      <c r="I3634">
        <v>0</v>
      </c>
      <c r="M3634">
        <v>0</v>
      </c>
      <c r="N3634">
        <v>0</v>
      </c>
      <c r="O3634">
        <v>0</v>
      </c>
      <c r="P3634">
        <v>22.4</v>
      </c>
      <c r="Q3634">
        <v>0</v>
      </c>
      <c r="R3634">
        <v>0</v>
      </c>
      <c r="S3634">
        <v>0</v>
      </c>
      <c r="T3634">
        <v>0</v>
      </c>
      <c r="U3634">
        <v>0</v>
      </c>
      <c r="V3634">
        <v>0</v>
      </c>
      <c r="W3634">
        <v>0</v>
      </c>
      <c r="X3634">
        <v>0</v>
      </c>
      <c r="Y3634">
        <v>0</v>
      </c>
      <c r="Z3634">
        <v>0</v>
      </c>
      <c r="AA3634">
        <v>0</v>
      </c>
      <c r="AC3634">
        <v>22.4</v>
      </c>
    </row>
    <row r="3635" spans="1:29">
      <c r="A3635">
        <v>3628</v>
      </c>
      <c r="B3635">
        <v>410</v>
      </c>
      <c r="C3635" t="s">
        <v>7455</v>
      </c>
      <c r="D3635" t="s">
        <v>170</v>
      </c>
      <c r="E3635" t="s">
        <v>5091</v>
      </c>
      <c r="F3635" t="s">
        <v>7456</v>
      </c>
      <c r="G3635" t="str">
        <f>"00496909"</f>
        <v>00496909</v>
      </c>
      <c r="H3635">
        <v>18.399999999999999</v>
      </c>
      <c r="I3635">
        <v>0</v>
      </c>
      <c r="M3635">
        <v>0</v>
      </c>
      <c r="N3635">
        <v>4</v>
      </c>
      <c r="O3635">
        <v>0</v>
      </c>
      <c r="P3635">
        <v>22.4</v>
      </c>
      <c r="Q3635">
        <v>0</v>
      </c>
      <c r="R3635">
        <v>0</v>
      </c>
      <c r="S3635">
        <v>0</v>
      </c>
      <c r="T3635">
        <v>0</v>
      </c>
      <c r="U3635">
        <v>0</v>
      </c>
      <c r="V3635">
        <v>0</v>
      </c>
      <c r="W3635">
        <v>0</v>
      </c>
      <c r="X3635">
        <v>0</v>
      </c>
      <c r="Y3635">
        <v>0</v>
      </c>
      <c r="Z3635">
        <v>0</v>
      </c>
      <c r="AA3635">
        <v>0</v>
      </c>
      <c r="AC3635">
        <v>22.4</v>
      </c>
    </row>
    <row r="3636" spans="1:29">
      <c r="A3636">
        <v>3629</v>
      </c>
      <c r="B3636">
        <v>1922</v>
      </c>
      <c r="C3636" t="s">
        <v>7472</v>
      </c>
      <c r="D3636" t="s">
        <v>1474</v>
      </c>
      <c r="E3636" t="s">
        <v>18</v>
      </c>
      <c r="F3636" t="s">
        <v>7473</v>
      </c>
      <c r="G3636" t="str">
        <f>"00817786"</f>
        <v>00817786</v>
      </c>
      <c r="H3636">
        <v>14.4</v>
      </c>
      <c r="I3636">
        <v>0</v>
      </c>
      <c r="L3636">
        <v>4</v>
      </c>
      <c r="M3636">
        <v>4</v>
      </c>
      <c r="N3636">
        <v>4</v>
      </c>
      <c r="O3636">
        <v>0</v>
      </c>
      <c r="P3636">
        <v>22.4</v>
      </c>
      <c r="Q3636">
        <v>0</v>
      </c>
      <c r="R3636">
        <v>0</v>
      </c>
      <c r="S3636">
        <v>0</v>
      </c>
      <c r="T3636">
        <v>0</v>
      </c>
      <c r="U3636">
        <v>0</v>
      </c>
      <c r="V3636">
        <v>0</v>
      </c>
      <c r="W3636">
        <v>0</v>
      </c>
      <c r="X3636">
        <v>0</v>
      </c>
      <c r="Y3636">
        <v>0</v>
      </c>
      <c r="Z3636">
        <v>0</v>
      </c>
      <c r="AA3636">
        <v>0</v>
      </c>
      <c r="AC3636">
        <v>22.4</v>
      </c>
    </row>
    <row r="3637" spans="1:29">
      <c r="A3637">
        <v>3630</v>
      </c>
      <c r="B3637">
        <v>2946</v>
      </c>
      <c r="C3637" t="s">
        <v>7459</v>
      </c>
      <c r="D3637" t="s">
        <v>20</v>
      </c>
      <c r="E3637" t="s">
        <v>28</v>
      </c>
      <c r="F3637" t="s">
        <v>7460</v>
      </c>
      <c r="G3637" t="str">
        <f>"201406011241"</f>
        <v>201406011241</v>
      </c>
      <c r="H3637">
        <v>14.4</v>
      </c>
      <c r="I3637">
        <v>0</v>
      </c>
      <c r="L3637">
        <v>4</v>
      </c>
      <c r="M3637">
        <v>4</v>
      </c>
      <c r="N3637">
        <v>4</v>
      </c>
      <c r="O3637">
        <v>0</v>
      </c>
      <c r="P3637">
        <v>22.4</v>
      </c>
      <c r="Q3637">
        <v>0</v>
      </c>
      <c r="R3637">
        <v>0</v>
      </c>
      <c r="S3637">
        <v>0</v>
      </c>
      <c r="T3637">
        <v>0</v>
      </c>
      <c r="U3637">
        <v>0</v>
      </c>
      <c r="V3637">
        <v>0</v>
      </c>
      <c r="W3637">
        <v>0</v>
      </c>
      <c r="X3637">
        <v>0</v>
      </c>
      <c r="Y3637">
        <v>0</v>
      </c>
      <c r="Z3637">
        <v>0</v>
      </c>
      <c r="AA3637">
        <v>0</v>
      </c>
      <c r="AC3637">
        <v>22.4</v>
      </c>
    </row>
    <row r="3638" spans="1:29">
      <c r="A3638">
        <v>3631</v>
      </c>
      <c r="B3638">
        <v>562</v>
      </c>
      <c r="C3638" t="s">
        <v>7463</v>
      </c>
      <c r="D3638" t="s">
        <v>159</v>
      </c>
      <c r="E3638" t="s">
        <v>322</v>
      </c>
      <c r="F3638" t="s">
        <v>7464</v>
      </c>
      <c r="G3638" t="str">
        <f>"00207497"</f>
        <v>00207497</v>
      </c>
      <c r="H3638">
        <v>14.4</v>
      </c>
      <c r="I3638">
        <v>0</v>
      </c>
      <c r="L3638">
        <v>4</v>
      </c>
      <c r="M3638">
        <v>4</v>
      </c>
      <c r="N3638">
        <v>4</v>
      </c>
      <c r="O3638">
        <v>0</v>
      </c>
      <c r="P3638">
        <v>22.4</v>
      </c>
      <c r="Q3638">
        <v>0</v>
      </c>
      <c r="R3638">
        <v>0</v>
      </c>
      <c r="S3638">
        <v>0</v>
      </c>
      <c r="T3638">
        <v>0</v>
      </c>
      <c r="U3638">
        <v>0</v>
      </c>
      <c r="V3638">
        <v>0</v>
      </c>
      <c r="W3638">
        <v>0</v>
      </c>
      <c r="X3638">
        <v>0</v>
      </c>
      <c r="Y3638">
        <v>0</v>
      </c>
      <c r="Z3638">
        <v>0</v>
      </c>
      <c r="AA3638">
        <v>0</v>
      </c>
      <c r="AC3638">
        <v>22.4</v>
      </c>
    </row>
    <row r="3639" spans="1:29">
      <c r="A3639">
        <v>3632</v>
      </c>
      <c r="B3639">
        <v>2121</v>
      </c>
      <c r="C3639" t="s">
        <v>7457</v>
      </c>
      <c r="D3639" t="s">
        <v>145</v>
      </c>
      <c r="E3639" t="s">
        <v>28</v>
      </c>
      <c r="F3639" t="s">
        <v>7458</v>
      </c>
      <c r="G3639" t="str">
        <f>"00863027"</f>
        <v>00863027</v>
      </c>
      <c r="H3639">
        <v>14.4</v>
      </c>
      <c r="I3639">
        <v>0</v>
      </c>
      <c r="J3639">
        <v>8</v>
      </c>
      <c r="M3639">
        <v>8</v>
      </c>
      <c r="N3639">
        <v>0</v>
      </c>
      <c r="O3639">
        <v>0</v>
      </c>
      <c r="P3639">
        <v>22.4</v>
      </c>
      <c r="Q3639">
        <v>0</v>
      </c>
      <c r="R3639">
        <v>0</v>
      </c>
      <c r="S3639">
        <v>0</v>
      </c>
      <c r="T3639">
        <v>0</v>
      </c>
      <c r="U3639">
        <v>0</v>
      </c>
      <c r="V3639">
        <v>0</v>
      </c>
      <c r="W3639">
        <v>0</v>
      </c>
      <c r="X3639">
        <v>0</v>
      </c>
      <c r="Y3639">
        <v>0</v>
      </c>
      <c r="Z3639">
        <v>0</v>
      </c>
      <c r="AA3639">
        <v>0</v>
      </c>
      <c r="AC3639">
        <v>22.4</v>
      </c>
    </row>
    <row r="3640" spans="1:29">
      <c r="A3640">
        <v>3633</v>
      </c>
      <c r="B3640">
        <v>4961</v>
      </c>
      <c r="C3640" t="s">
        <v>7474</v>
      </c>
      <c r="D3640" t="s">
        <v>175</v>
      </c>
      <c r="E3640" t="s">
        <v>134</v>
      </c>
      <c r="F3640" t="s">
        <v>7475</v>
      </c>
      <c r="G3640" t="str">
        <f>"00531433"</f>
        <v>00531433</v>
      </c>
      <c r="H3640">
        <v>14.4</v>
      </c>
      <c r="I3640">
        <v>0</v>
      </c>
      <c r="L3640">
        <v>4</v>
      </c>
      <c r="M3640">
        <v>4</v>
      </c>
      <c r="N3640">
        <v>4</v>
      </c>
      <c r="O3640">
        <v>0</v>
      </c>
      <c r="P3640">
        <v>22.4</v>
      </c>
      <c r="Q3640">
        <v>0</v>
      </c>
      <c r="R3640">
        <v>0</v>
      </c>
      <c r="S3640">
        <v>0</v>
      </c>
      <c r="T3640">
        <v>0</v>
      </c>
      <c r="U3640">
        <v>0</v>
      </c>
      <c r="V3640">
        <v>0</v>
      </c>
      <c r="W3640">
        <v>0</v>
      </c>
      <c r="X3640">
        <v>0</v>
      </c>
      <c r="Y3640">
        <v>0</v>
      </c>
      <c r="Z3640">
        <v>0</v>
      </c>
      <c r="AA3640">
        <v>0</v>
      </c>
      <c r="AC3640">
        <v>22.4</v>
      </c>
    </row>
    <row r="3641" spans="1:29">
      <c r="A3641">
        <v>3634</v>
      </c>
      <c r="B3641">
        <v>2431</v>
      </c>
      <c r="C3641" t="s">
        <v>7467</v>
      </c>
      <c r="D3641" t="s">
        <v>7468</v>
      </c>
      <c r="E3641" t="s">
        <v>967</v>
      </c>
      <c r="F3641" t="s">
        <v>7469</v>
      </c>
      <c r="G3641" t="str">
        <f>"00597046"</f>
        <v>00597046</v>
      </c>
      <c r="H3641">
        <v>14.4</v>
      </c>
      <c r="I3641">
        <v>0</v>
      </c>
      <c r="L3641">
        <v>4</v>
      </c>
      <c r="M3641">
        <v>4</v>
      </c>
      <c r="N3641">
        <v>4</v>
      </c>
      <c r="O3641">
        <v>0</v>
      </c>
      <c r="P3641">
        <v>22.4</v>
      </c>
      <c r="Q3641">
        <v>0</v>
      </c>
      <c r="R3641">
        <v>0</v>
      </c>
      <c r="S3641">
        <v>0</v>
      </c>
      <c r="T3641">
        <v>0</v>
      </c>
      <c r="U3641">
        <v>0</v>
      </c>
      <c r="V3641">
        <v>0</v>
      </c>
      <c r="W3641">
        <v>0</v>
      </c>
      <c r="X3641">
        <v>0</v>
      </c>
      <c r="Y3641">
        <v>0</v>
      </c>
      <c r="Z3641">
        <v>0</v>
      </c>
      <c r="AA3641">
        <v>0</v>
      </c>
      <c r="AC3641">
        <v>22.4</v>
      </c>
    </row>
    <row r="3642" spans="1:29">
      <c r="A3642">
        <v>3635</v>
      </c>
      <c r="B3642">
        <v>4348</v>
      </c>
      <c r="C3642" t="s">
        <v>7470</v>
      </c>
      <c r="D3642" t="s">
        <v>15</v>
      </c>
      <c r="E3642" t="s">
        <v>66</v>
      </c>
      <c r="F3642" t="s">
        <v>7471</v>
      </c>
      <c r="G3642" t="str">
        <f>"00503151"</f>
        <v>00503151</v>
      </c>
      <c r="H3642">
        <v>14.4</v>
      </c>
      <c r="I3642">
        <v>0</v>
      </c>
      <c r="J3642">
        <v>8</v>
      </c>
      <c r="M3642">
        <v>8</v>
      </c>
      <c r="N3642">
        <v>0</v>
      </c>
      <c r="O3642">
        <v>0</v>
      </c>
      <c r="P3642">
        <v>22.4</v>
      </c>
      <c r="Q3642">
        <v>0</v>
      </c>
      <c r="R3642">
        <v>0</v>
      </c>
      <c r="S3642">
        <v>0</v>
      </c>
      <c r="T3642">
        <v>0</v>
      </c>
      <c r="U3642">
        <v>0</v>
      </c>
      <c r="V3642">
        <v>0</v>
      </c>
      <c r="W3642">
        <v>0</v>
      </c>
      <c r="X3642">
        <v>0</v>
      </c>
      <c r="Y3642">
        <v>0</v>
      </c>
      <c r="Z3642">
        <v>0</v>
      </c>
      <c r="AA3642">
        <v>0</v>
      </c>
      <c r="AC3642">
        <v>22.4</v>
      </c>
    </row>
    <row r="3643" spans="1:29">
      <c r="A3643">
        <v>3636</v>
      </c>
      <c r="B3643">
        <v>1390</v>
      </c>
      <c r="C3643" t="s">
        <v>7465</v>
      </c>
      <c r="D3643" t="s">
        <v>175</v>
      </c>
      <c r="E3643" t="s">
        <v>28</v>
      </c>
      <c r="F3643" t="s">
        <v>7466</v>
      </c>
      <c r="G3643" t="str">
        <f>"00522964"</f>
        <v>00522964</v>
      </c>
      <c r="H3643">
        <v>14.4</v>
      </c>
      <c r="I3643">
        <v>0</v>
      </c>
      <c r="L3643">
        <v>4</v>
      </c>
      <c r="M3643">
        <v>4</v>
      </c>
      <c r="N3643">
        <v>4</v>
      </c>
      <c r="O3643">
        <v>0</v>
      </c>
      <c r="P3643">
        <v>22.4</v>
      </c>
      <c r="Q3643">
        <v>0</v>
      </c>
      <c r="R3643">
        <v>0</v>
      </c>
      <c r="S3643">
        <v>0</v>
      </c>
      <c r="T3643">
        <v>0</v>
      </c>
      <c r="U3643">
        <v>0</v>
      </c>
      <c r="V3643">
        <v>0</v>
      </c>
      <c r="W3643">
        <v>0</v>
      </c>
      <c r="X3643">
        <v>0</v>
      </c>
      <c r="Y3643">
        <v>0</v>
      </c>
      <c r="Z3643">
        <v>0</v>
      </c>
      <c r="AA3643">
        <v>0</v>
      </c>
      <c r="AC3643">
        <v>22.4</v>
      </c>
    </row>
    <row r="3644" spans="1:29">
      <c r="A3644">
        <v>3637</v>
      </c>
      <c r="B3644">
        <v>3725</v>
      </c>
      <c r="C3644" t="s">
        <v>7461</v>
      </c>
      <c r="D3644" t="s">
        <v>687</v>
      </c>
      <c r="E3644" t="s">
        <v>304</v>
      </c>
      <c r="F3644" t="s">
        <v>7462</v>
      </c>
      <c r="G3644" t="str">
        <f>"00863950"</f>
        <v>00863950</v>
      </c>
      <c r="H3644">
        <v>14.4</v>
      </c>
      <c r="I3644">
        <v>0</v>
      </c>
      <c r="L3644">
        <v>4</v>
      </c>
      <c r="M3644">
        <v>4</v>
      </c>
      <c r="N3644">
        <v>4</v>
      </c>
      <c r="O3644">
        <v>0</v>
      </c>
      <c r="P3644">
        <v>22.4</v>
      </c>
      <c r="Q3644">
        <v>0</v>
      </c>
      <c r="R3644">
        <v>0</v>
      </c>
      <c r="S3644">
        <v>0</v>
      </c>
      <c r="T3644">
        <v>0</v>
      </c>
      <c r="U3644">
        <v>0</v>
      </c>
      <c r="V3644">
        <v>0</v>
      </c>
      <c r="W3644">
        <v>0</v>
      </c>
      <c r="X3644">
        <v>0</v>
      </c>
      <c r="Y3644">
        <v>0</v>
      </c>
      <c r="Z3644">
        <v>0</v>
      </c>
      <c r="AA3644">
        <v>0</v>
      </c>
      <c r="AC3644">
        <v>22.4</v>
      </c>
    </row>
    <row r="3645" spans="1:29">
      <c r="A3645">
        <v>3638</v>
      </c>
      <c r="B3645">
        <v>4583</v>
      </c>
      <c r="C3645" t="s">
        <v>7476</v>
      </c>
      <c r="D3645" t="s">
        <v>52</v>
      </c>
      <c r="E3645" t="s">
        <v>28</v>
      </c>
      <c r="F3645" t="s">
        <v>7477</v>
      </c>
      <c r="G3645" t="str">
        <f>"00864472"</f>
        <v>00864472</v>
      </c>
      <c r="H3645">
        <v>16.28</v>
      </c>
      <c r="I3645">
        <v>0</v>
      </c>
      <c r="M3645">
        <v>0</v>
      </c>
      <c r="N3645">
        <v>0</v>
      </c>
      <c r="O3645">
        <v>0</v>
      </c>
      <c r="P3645">
        <v>16.28</v>
      </c>
      <c r="Q3645">
        <v>0</v>
      </c>
      <c r="R3645">
        <v>0</v>
      </c>
      <c r="S3645">
        <v>0</v>
      </c>
      <c r="T3645">
        <v>0</v>
      </c>
      <c r="U3645">
        <v>0</v>
      </c>
      <c r="V3645">
        <v>0</v>
      </c>
      <c r="W3645">
        <v>0</v>
      </c>
      <c r="X3645">
        <v>0</v>
      </c>
      <c r="Y3645">
        <v>0</v>
      </c>
      <c r="Z3645">
        <v>6</v>
      </c>
      <c r="AA3645">
        <v>0</v>
      </c>
      <c r="AC3645">
        <v>22.28</v>
      </c>
    </row>
    <row r="3646" spans="1:29">
      <c r="A3646">
        <v>3639</v>
      </c>
      <c r="B3646">
        <v>4722</v>
      </c>
      <c r="C3646" t="s">
        <v>7478</v>
      </c>
      <c r="D3646" t="s">
        <v>261</v>
      </c>
      <c r="E3646" t="s">
        <v>777</v>
      </c>
      <c r="F3646" t="s">
        <v>7479</v>
      </c>
      <c r="G3646" t="str">
        <f>"201402008755"</f>
        <v>201402008755</v>
      </c>
      <c r="H3646">
        <v>22.28</v>
      </c>
      <c r="I3646">
        <v>0</v>
      </c>
      <c r="M3646">
        <v>0</v>
      </c>
      <c r="N3646">
        <v>0</v>
      </c>
      <c r="O3646">
        <v>0</v>
      </c>
      <c r="P3646">
        <v>22.28</v>
      </c>
      <c r="Q3646">
        <v>0</v>
      </c>
      <c r="R3646">
        <v>0</v>
      </c>
      <c r="S3646">
        <v>0</v>
      </c>
      <c r="T3646">
        <v>0</v>
      </c>
      <c r="U3646">
        <v>0</v>
      </c>
      <c r="V3646">
        <v>0</v>
      </c>
      <c r="W3646">
        <v>0</v>
      </c>
      <c r="X3646">
        <v>0</v>
      </c>
      <c r="Y3646">
        <v>0</v>
      </c>
      <c r="Z3646">
        <v>0</v>
      </c>
      <c r="AA3646">
        <v>0</v>
      </c>
      <c r="AC3646">
        <v>22.28</v>
      </c>
    </row>
    <row r="3647" spans="1:29">
      <c r="A3647">
        <v>3640</v>
      </c>
      <c r="B3647">
        <v>2737</v>
      </c>
      <c r="C3647" t="s">
        <v>7480</v>
      </c>
      <c r="D3647" t="s">
        <v>27</v>
      </c>
      <c r="E3647" t="s">
        <v>322</v>
      </c>
      <c r="F3647" t="s">
        <v>7481</v>
      </c>
      <c r="G3647" t="str">
        <f>"00473469"</f>
        <v>00473469</v>
      </c>
      <c r="H3647">
        <v>7.2</v>
      </c>
      <c r="I3647">
        <v>0</v>
      </c>
      <c r="M3647">
        <v>0</v>
      </c>
      <c r="N3647">
        <v>0</v>
      </c>
      <c r="O3647">
        <v>2</v>
      </c>
      <c r="P3647">
        <v>9.1999999999999993</v>
      </c>
      <c r="Q3647">
        <v>7</v>
      </c>
      <c r="R3647">
        <v>7</v>
      </c>
      <c r="S3647">
        <v>0</v>
      </c>
      <c r="T3647">
        <v>0</v>
      </c>
      <c r="U3647">
        <v>0</v>
      </c>
      <c r="V3647">
        <v>0</v>
      </c>
      <c r="W3647">
        <v>0</v>
      </c>
      <c r="X3647">
        <v>0</v>
      </c>
      <c r="Y3647">
        <v>7</v>
      </c>
      <c r="Z3647">
        <v>6</v>
      </c>
      <c r="AA3647">
        <v>0</v>
      </c>
      <c r="AC3647">
        <v>22.2</v>
      </c>
    </row>
    <row r="3648" spans="1:29">
      <c r="A3648">
        <v>3641</v>
      </c>
      <c r="B3648">
        <v>4437</v>
      </c>
      <c r="C3648" t="s">
        <v>7482</v>
      </c>
      <c r="D3648" t="s">
        <v>27</v>
      </c>
      <c r="E3648" t="s">
        <v>66</v>
      </c>
      <c r="F3648" t="s">
        <v>7483</v>
      </c>
      <c r="G3648" t="str">
        <f>"00752426"</f>
        <v>00752426</v>
      </c>
      <c r="H3648">
        <v>15.2</v>
      </c>
      <c r="I3648">
        <v>0</v>
      </c>
      <c r="M3648">
        <v>0</v>
      </c>
      <c r="N3648">
        <v>4</v>
      </c>
      <c r="O3648">
        <v>0</v>
      </c>
      <c r="P3648">
        <v>19.2</v>
      </c>
      <c r="Q3648">
        <v>0</v>
      </c>
      <c r="R3648">
        <v>0</v>
      </c>
      <c r="S3648">
        <v>0</v>
      </c>
      <c r="T3648">
        <v>0</v>
      </c>
      <c r="U3648">
        <v>0</v>
      </c>
      <c r="V3648">
        <v>0</v>
      </c>
      <c r="W3648">
        <v>0</v>
      </c>
      <c r="X3648">
        <v>0</v>
      </c>
      <c r="Y3648">
        <v>0</v>
      </c>
      <c r="Z3648">
        <v>3</v>
      </c>
      <c r="AA3648">
        <v>0</v>
      </c>
      <c r="AC3648">
        <v>22.2</v>
      </c>
    </row>
    <row r="3649" spans="1:29">
      <c r="A3649">
        <v>3642</v>
      </c>
      <c r="B3649">
        <v>3893</v>
      </c>
      <c r="C3649" t="s">
        <v>7484</v>
      </c>
      <c r="D3649" t="s">
        <v>820</v>
      </c>
      <c r="E3649" t="s">
        <v>337</v>
      </c>
      <c r="F3649" t="s">
        <v>7485</v>
      </c>
      <c r="G3649" t="str">
        <f>"00135209"</f>
        <v>00135209</v>
      </c>
      <c r="H3649">
        <v>7.2</v>
      </c>
      <c r="I3649">
        <v>0</v>
      </c>
      <c r="L3649">
        <v>4</v>
      </c>
      <c r="M3649">
        <v>4</v>
      </c>
      <c r="N3649">
        <v>4</v>
      </c>
      <c r="O3649">
        <v>2</v>
      </c>
      <c r="P3649">
        <v>17.2</v>
      </c>
      <c r="Q3649">
        <v>5</v>
      </c>
      <c r="R3649">
        <v>5</v>
      </c>
      <c r="S3649">
        <v>0</v>
      </c>
      <c r="T3649">
        <v>0</v>
      </c>
      <c r="U3649">
        <v>0</v>
      </c>
      <c r="V3649">
        <v>0</v>
      </c>
      <c r="W3649">
        <v>0</v>
      </c>
      <c r="X3649">
        <v>0</v>
      </c>
      <c r="Y3649">
        <v>5</v>
      </c>
      <c r="Z3649">
        <v>0</v>
      </c>
      <c r="AA3649">
        <v>0</v>
      </c>
      <c r="AC3649">
        <v>22.2</v>
      </c>
    </row>
    <row r="3650" spans="1:29">
      <c r="A3650">
        <v>3643</v>
      </c>
      <c r="B3650">
        <v>2544</v>
      </c>
      <c r="C3650" t="s">
        <v>7486</v>
      </c>
      <c r="D3650" t="s">
        <v>27</v>
      </c>
      <c r="E3650" t="s">
        <v>304</v>
      </c>
      <c r="F3650" t="s">
        <v>7487</v>
      </c>
      <c r="G3650" t="str">
        <f>"00329363"</f>
        <v>00329363</v>
      </c>
      <c r="H3650">
        <v>7.2</v>
      </c>
      <c r="I3650">
        <v>0</v>
      </c>
      <c r="L3650">
        <v>4</v>
      </c>
      <c r="M3650">
        <v>4</v>
      </c>
      <c r="N3650">
        <v>4</v>
      </c>
      <c r="O3650">
        <v>0</v>
      </c>
      <c r="P3650">
        <v>15.2</v>
      </c>
      <c r="Q3650">
        <v>7</v>
      </c>
      <c r="R3650">
        <v>7</v>
      </c>
      <c r="S3650">
        <v>0</v>
      </c>
      <c r="T3650">
        <v>0</v>
      </c>
      <c r="U3650">
        <v>0</v>
      </c>
      <c r="V3650">
        <v>0</v>
      </c>
      <c r="W3650">
        <v>0</v>
      </c>
      <c r="X3650">
        <v>0</v>
      </c>
      <c r="Y3650">
        <v>7</v>
      </c>
      <c r="Z3650">
        <v>0</v>
      </c>
      <c r="AA3650">
        <v>0</v>
      </c>
      <c r="AC3650">
        <v>22.2</v>
      </c>
    </row>
    <row r="3651" spans="1:29">
      <c r="A3651">
        <v>3644</v>
      </c>
      <c r="B3651">
        <v>36</v>
      </c>
      <c r="C3651" t="s">
        <v>1962</v>
      </c>
      <c r="D3651" t="s">
        <v>7488</v>
      </c>
      <c r="E3651" t="s">
        <v>79</v>
      </c>
      <c r="F3651" t="s">
        <v>7489</v>
      </c>
      <c r="G3651" t="str">
        <f>"00526205"</f>
        <v>00526205</v>
      </c>
      <c r="H3651">
        <v>7.2</v>
      </c>
      <c r="I3651">
        <v>0</v>
      </c>
      <c r="L3651">
        <v>4</v>
      </c>
      <c r="M3651">
        <v>4</v>
      </c>
      <c r="N3651">
        <v>0</v>
      </c>
      <c r="O3651">
        <v>0</v>
      </c>
      <c r="P3651">
        <v>11.2</v>
      </c>
      <c r="Q3651">
        <v>11</v>
      </c>
      <c r="R3651">
        <v>11</v>
      </c>
      <c r="S3651">
        <v>0</v>
      </c>
      <c r="T3651">
        <v>0</v>
      </c>
      <c r="U3651">
        <v>0</v>
      </c>
      <c r="V3651">
        <v>0</v>
      </c>
      <c r="W3651">
        <v>0</v>
      </c>
      <c r="X3651">
        <v>0</v>
      </c>
      <c r="Y3651">
        <v>11</v>
      </c>
      <c r="Z3651">
        <v>0</v>
      </c>
      <c r="AA3651">
        <v>0</v>
      </c>
      <c r="AC3651">
        <v>22.2</v>
      </c>
    </row>
    <row r="3652" spans="1:29">
      <c r="A3652">
        <v>3645</v>
      </c>
      <c r="B3652">
        <v>1731</v>
      </c>
      <c r="C3652" t="s">
        <v>7490</v>
      </c>
      <c r="D3652" t="s">
        <v>2573</v>
      </c>
      <c r="E3652" t="s">
        <v>36</v>
      </c>
      <c r="F3652" t="s">
        <v>7491</v>
      </c>
      <c r="G3652" t="str">
        <f>"00515177"</f>
        <v>00515177</v>
      </c>
      <c r="H3652">
        <v>0</v>
      </c>
      <c r="I3652">
        <v>10</v>
      </c>
      <c r="M3652">
        <v>0</v>
      </c>
      <c r="N3652">
        <v>4</v>
      </c>
      <c r="O3652">
        <v>2</v>
      </c>
      <c r="P3652">
        <v>16</v>
      </c>
      <c r="Q3652">
        <v>0</v>
      </c>
      <c r="R3652">
        <v>0</v>
      </c>
      <c r="S3652">
        <v>0</v>
      </c>
      <c r="T3652">
        <v>0</v>
      </c>
      <c r="U3652">
        <v>0</v>
      </c>
      <c r="V3652">
        <v>0</v>
      </c>
      <c r="W3652">
        <v>0</v>
      </c>
      <c r="X3652">
        <v>0</v>
      </c>
      <c r="Y3652">
        <v>0</v>
      </c>
      <c r="Z3652">
        <v>6</v>
      </c>
      <c r="AA3652">
        <v>0</v>
      </c>
      <c r="AC3652">
        <v>22</v>
      </c>
    </row>
    <row r="3653" spans="1:29">
      <c r="A3653">
        <v>3646</v>
      </c>
      <c r="B3653">
        <v>3215</v>
      </c>
      <c r="C3653" t="s">
        <v>7492</v>
      </c>
      <c r="D3653" t="s">
        <v>7493</v>
      </c>
      <c r="E3653" t="s">
        <v>79</v>
      </c>
      <c r="F3653" t="s">
        <v>7494</v>
      </c>
      <c r="G3653" t="str">
        <f>"00531230"</f>
        <v>00531230</v>
      </c>
      <c r="H3653">
        <v>14</v>
      </c>
      <c r="I3653">
        <v>0</v>
      </c>
      <c r="L3653">
        <v>4</v>
      </c>
      <c r="M3653">
        <v>4</v>
      </c>
      <c r="N3653">
        <v>4</v>
      </c>
      <c r="O3653">
        <v>0</v>
      </c>
      <c r="P3653">
        <v>22</v>
      </c>
      <c r="Q3653">
        <v>0</v>
      </c>
      <c r="R3653">
        <v>0</v>
      </c>
      <c r="S3653">
        <v>0</v>
      </c>
      <c r="T3653">
        <v>0</v>
      </c>
      <c r="U3653">
        <v>0</v>
      </c>
      <c r="V3653">
        <v>0</v>
      </c>
      <c r="W3653">
        <v>0</v>
      </c>
      <c r="X3653">
        <v>0</v>
      </c>
      <c r="Y3653">
        <v>0</v>
      </c>
      <c r="Z3653">
        <v>0</v>
      </c>
      <c r="AA3653">
        <v>0</v>
      </c>
      <c r="AC3653">
        <v>22</v>
      </c>
    </row>
    <row r="3654" spans="1:29">
      <c r="A3654">
        <v>3647</v>
      </c>
      <c r="B3654">
        <v>2288</v>
      </c>
      <c r="C3654" t="s">
        <v>7495</v>
      </c>
      <c r="D3654" t="s">
        <v>811</v>
      </c>
      <c r="E3654" t="s">
        <v>1020</v>
      </c>
      <c r="F3654" t="s">
        <v>7496</v>
      </c>
      <c r="G3654" t="str">
        <f>"00539856"</f>
        <v>00539856</v>
      </c>
      <c r="H3654">
        <v>12</v>
      </c>
      <c r="I3654">
        <v>10</v>
      </c>
      <c r="M3654">
        <v>0</v>
      </c>
      <c r="N3654">
        <v>0</v>
      </c>
      <c r="O3654">
        <v>0</v>
      </c>
      <c r="P3654">
        <v>22</v>
      </c>
      <c r="Q3654">
        <v>0</v>
      </c>
      <c r="R3654">
        <v>0</v>
      </c>
      <c r="S3654">
        <v>0</v>
      </c>
      <c r="T3654">
        <v>0</v>
      </c>
      <c r="U3654">
        <v>0</v>
      </c>
      <c r="V3654">
        <v>0</v>
      </c>
      <c r="W3654">
        <v>0</v>
      </c>
      <c r="X3654">
        <v>0</v>
      </c>
      <c r="Y3654">
        <v>0</v>
      </c>
      <c r="Z3654">
        <v>0</v>
      </c>
      <c r="AA3654">
        <v>0</v>
      </c>
      <c r="AC3654">
        <v>22</v>
      </c>
    </row>
    <row r="3655" spans="1:29">
      <c r="A3655">
        <v>3648</v>
      </c>
      <c r="B3655">
        <v>1110</v>
      </c>
      <c r="C3655" t="s">
        <v>7497</v>
      </c>
      <c r="D3655" t="s">
        <v>7498</v>
      </c>
      <c r="E3655" t="s">
        <v>436</v>
      </c>
      <c r="F3655" t="s">
        <v>7499</v>
      </c>
      <c r="G3655" t="str">
        <f>"201402003609"</f>
        <v>201402003609</v>
      </c>
      <c r="H3655">
        <v>0</v>
      </c>
      <c r="I3655">
        <v>0</v>
      </c>
      <c r="J3655">
        <v>8</v>
      </c>
      <c r="M3655">
        <v>8</v>
      </c>
      <c r="N3655">
        <v>4</v>
      </c>
      <c r="O3655">
        <v>2</v>
      </c>
      <c r="P3655">
        <v>14</v>
      </c>
      <c r="Q3655">
        <v>8</v>
      </c>
      <c r="R3655">
        <v>8</v>
      </c>
      <c r="S3655">
        <v>0</v>
      </c>
      <c r="T3655">
        <v>0</v>
      </c>
      <c r="U3655">
        <v>0</v>
      </c>
      <c r="V3655">
        <v>0</v>
      </c>
      <c r="W3655">
        <v>0</v>
      </c>
      <c r="X3655">
        <v>0</v>
      </c>
      <c r="Y3655">
        <v>8</v>
      </c>
      <c r="Z3655">
        <v>0</v>
      </c>
      <c r="AA3655">
        <v>0</v>
      </c>
      <c r="AC3655">
        <v>22</v>
      </c>
    </row>
    <row r="3656" spans="1:29">
      <c r="A3656">
        <v>3649</v>
      </c>
      <c r="B3656">
        <v>158</v>
      </c>
      <c r="C3656" t="s">
        <v>209</v>
      </c>
      <c r="D3656" t="s">
        <v>210</v>
      </c>
      <c r="E3656" t="s">
        <v>79</v>
      </c>
      <c r="F3656" t="s">
        <v>7500</v>
      </c>
      <c r="G3656" t="str">
        <f>"00856237"</f>
        <v>00856237</v>
      </c>
      <c r="H3656">
        <v>18.68</v>
      </c>
      <c r="I3656">
        <v>0</v>
      </c>
      <c r="M3656">
        <v>0</v>
      </c>
      <c r="N3656">
        <v>0</v>
      </c>
      <c r="O3656">
        <v>0</v>
      </c>
      <c r="P3656">
        <v>18.68</v>
      </c>
      <c r="Q3656">
        <v>0</v>
      </c>
      <c r="R3656">
        <v>0</v>
      </c>
      <c r="S3656">
        <v>0</v>
      </c>
      <c r="T3656">
        <v>0</v>
      </c>
      <c r="U3656">
        <v>0</v>
      </c>
      <c r="V3656">
        <v>0</v>
      </c>
      <c r="W3656">
        <v>0</v>
      </c>
      <c r="X3656">
        <v>0</v>
      </c>
      <c r="Y3656">
        <v>0</v>
      </c>
      <c r="Z3656">
        <v>3</v>
      </c>
      <c r="AA3656">
        <v>0</v>
      </c>
      <c r="AC3656">
        <v>21.68</v>
      </c>
    </row>
    <row r="3657" spans="1:29">
      <c r="A3657">
        <v>3650</v>
      </c>
      <c r="B3657">
        <v>4603</v>
      </c>
      <c r="C3657" t="s">
        <v>7501</v>
      </c>
      <c r="D3657" t="s">
        <v>137</v>
      </c>
      <c r="E3657" t="s">
        <v>66</v>
      </c>
      <c r="F3657" t="s">
        <v>7502</v>
      </c>
      <c r="G3657" t="str">
        <f>"00703931"</f>
        <v>00703931</v>
      </c>
      <c r="H3657">
        <v>11.64</v>
      </c>
      <c r="I3657">
        <v>0</v>
      </c>
      <c r="M3657">
        <v>0</v>
      </c>
      <c r="N3657">
        <v>4</v>
      </c>
      <c r="O3657">
        <v>0</v>
      </c>
      <c r="P3657">
        <v>15.64</v>
      </c>
      <c r="Q3657">
        <v>0</v>
      </c>
      <c r="R3657">
        <v>0</v>
      </c>
      <c r="S3657">
        <v>0</v>
      </c>
      <c r="T3657">
        <v>0</v>
      </c>
      <c r="U3657">
        <v>0</v>
      </c>
      <c r="V3657">
        <v>0</v>
      </c>
      <c r="W3657">
        <v>0</v>
      </c>
      <c r="X3657">
        <v>0</v>
      </c>
      <c r="Y3657">
        <v>0</v>
      </c>
      <c r="Z3657">
        <v>6</v>
      </c>
      <c r="AA3657">
        <v>0</v>
      </c>
      <c r="AC3657">
        <v>21.64</v>
      </c>
    </row>
    <row r="3658" spans="1:29">
      <c r="A3658">
        <v>3651</v>
      </c>
      <c r="B3658">
        <v>2240</v>
      </c>
      <c r="C3658" t="s">
        <v>7509</v>
      </c>
      <c r="D3658" t="s">
        <v>52</v>
      </c>
      <c r="E3658" t="s">
        <v>66</v>
      </c>
      <c r="F3658" t="s">
        <v>7510</v>
      </c>
      <c r="G3658" t="str">
        <f>"00864667"</f>
        <v>00864667</v>
      </c>
      <c r="H3658">
        <v>21.6</v>
      </c>
      <c r="I3658">
        <v>0</v>
      </c>
      <c r="M3658">
        <v>0</v>
      </c>
      <c r="N3658">
        <v>0</v>
      </c>
      <c r="O3658">
        <v>0</v>
      </c>
      <c r="P3658">
        <v>21.6</v>
      </c>
      <c r="Q3658">
        <v>0</v>
      </c>
      <c r="R3658">
        <v>0</v>
      </c>
      <c r="S3658">
        <v>0</v>
      </c>
      <c r="T3658">
        <v>0</v>
      </c>
      <c r="U3658">
        <v>0</v>
      </c>
      <c r="V3658">
        <v>0</v>
      </c>
      <c r="W3658">
        <v>0</v>
      </c>
      <c r="X3658">
        <v>0</v>
      </c>
      <c r="Y3658">
        <v>0</v>
      </c>
      <c r="Z3658">
        <v>0</v>
      </c>
      <c r="AA3658">
        <v>0</v>
      </c>
      <c r="AC3658">
        <v>21.6</v>
      </c>
    </row>
    <row r="3659" spans="1:29">
      <c r="A3659">
        <v>3652</v>
      </c>
      <c r="B3659">
        <v>2487</v>
      </c>
      <c r="C3659" t="s">
        <v>7511</v>
      </c>
      <c r="D3659" t="s">
        <v>108</v>
      </c>
      <c r="E3659" t="s">
        <v>79</v>
      </c>
      <c r="F3659" t="s">
        <v>7512</v>
      </c>
      <c r="G3659" t="str">
        <f>"00263024"</f>
        <v>00263024</v>
      </c>
      <c r="H3659">
        <v>21.6</v>
      </c>
      <c r="I3659">
        <v>0</v>
      </c>
      <c r="M3659">
        <v>0</v>
      </c>
      <c r="N3659">
        <v>0</v>
      </c>
      <c r="O3659">
        <v>0</v>
      </c>
      <c r="P3659">
        <v>21.6</v>
      </c>
      <c r="Q3659">
        <v>0</v>
      </c>
      <c r="R3659">
        <v>0</v>
      </c>
      <c r="S3659">
        <v>0</v>
      </c>
      <c r="T3659">
        <v>0</v>
      </c>
      <c r="U3659">
        <v>0</v>
      </c>
      <c r="V3659">
        <v>0</v>
      </c>
      <c r="W3659">
        <v>0</v>
      </c>
      <c r="X3659">
        <v>0</v>
      </c>
      <c r="Y3659">
        <v>0</v>
      </c>
      <c r="Z3659">
        <v>0</v>
      </c>
      <c r="AA3659">
        <v>0</v>
      </c>
      <c r="AC3659">
        <v>21.6</v>
      </c>
    </row>
    <row r="3660" spans="1:29">
      <c r="A3660">
        <v>3653</v>
      </c>
      <c r="B3660">
        <v>1799</v>
      </c>
      <c r="C3660" t="s">
        <v>7507</v>
      </c>
      <c r="D3660" t="s">
        <v>164</v>
      </c>
      <c r="E3660" t="s">
        <v>79</v>
      </c>
      <c r="F3660" t="s">
        <v>7508</v>
      </c>
      <c r="G3660" t="str">
        <f>"00857353"</f>
        <v>00857353</v>
      </c>
      <c r="H3660">
        <v>21.6</v>
      </c>
      <c r="I3660">
        <v>0</v>
      </c>
      <c r="M3660">
        <v>0</v>
      </c>
      <c r="N3660">
        <v>0</v>
      </c>
      <c r="O3660">
        <v>0</v>
      </c>
      <c r="P3660">
        <v>21.6</v>
      </c>
      <c r="Q3660">
        <v>0</v>
      </c>
      <c r="R3660">
        <v>0</v>
      </c>
      <c r="S3660">
        <v>0</v>
      </c>
      <c r="T3660">
        <v>0</v>
      </c>
      <c r="U3660">
        <v>0</v>
      </c>
      <c r="V3660">
        <v>0</v>
      </c>
      <c r="W3660">
        <v>0</v>
      </c>
      <c r="X3660">
        <v>0</v>
      </c>
      <c r="Y3660">
        <v>0</v>
      </c>
      <c r="Z3660">
        <v>0</v>
      </c>
      <c r="AA3660">
        <v>0</v>
      </c>
      <c r="AC3660">
        <v>21.6</v>
      </c>
    </row>
    <row r="3661" spans="1:29">
      <c r="A3661">
        <v>3654</v>
      </c>
      <c r="B3661">
        <v>3960</v>
      </c>
      <c r="C3661" t="s">
        <v>3383</v>
      </c>
      <c r="D3661" t="s">
        <v>27</v>
      </c>
      <c r="E3661" t="s">
        <v>134</v>
      </c>
      <c r="F3661" t="s">
        <v>7513</v>
      </c>
      <c r="G3661" t="str">
        <f>"00529634"</f>
        <v>00529634</v>
      </c>
      <c r="H3661">
        <v>21.6</v>
      </c>
      <c r="I3661">
        <v>0</v>
      </c>
      <c r="M3661">
        <v>0</v>
      </c>
      <c r="N3661">
        <v>0</v>
      </c>
      <c r="O3661">
        <v>0</v>
      </c>
      <c r="P3661">
        <v>21.6</v>
      </c>
      <c r="Q3661">
        <v>0</v>
      </c>
      <c r="R3661">
        <v>0</v>
      </c>
      <c r="S3661">
        <v>0</v>
      </c>
      <c r="T3661">
        <v>0</v>
      </c>
      <c r="U3661">
        <v>0</v>
      </c>
      <c r="V3661">
        <v>0</v>
      </c>
      <c r="W3661">
        <v>0</v>
      </c>
      <c r="X3661">
        <v>0</v>
      </c>
      <c r="Y3661">
        <v>0</v>
      </c>
      <c r="Z3661">
        <v>0</v>
      </c>
      <c r="AA3661">
        <v>0</v>
      </c>
      <c r="AC3661">
        <v>21.6</v>
      </c>
    </row>
    <row r="3662" spans="1:29">
      <c r="A3662">
        <v>3655</v>
      </c>
      <c r="B3662">
        <v>4069</v>
      </c>
      <c r="C3662" t="s">
        <v>7503</v>
      </c>
      <c r="D3662" t="s">
        <v>98</v>
      </c>
      <c r="E3662" t="s">
        <v>237</v>
      </c>
      <c r="F3662" t="s">
        <v>7504</v>
      </c>
      <c r="G3662" t="str">
        <f>"00524342"</f>
        <v>00524342</v>
      </c>
      <c r="H3662">
        <v>21.6</v>
      </c>
      <c r="I3662">
        <v>0</v>
      </c>
      <c r="M3662">
        <v>0</v>
      </c>
      <c r="N3662">
        <v>0</v>
      </c>
      <c r="O3662">
        <v>0</v>
      </c>
      <c r="P3662">
        <v>21.6</v>
      </c>
      <c r="Q3662">
        <v>0</v>
      </c>
      <c r="R3662">
        <v>0</v>
      </c>
      <c r="S3662">
        <v>0</v>
      </c>
      <c r="T3662">
        <v>0</v>
      </c>
      <c r="U3662">
        <v>0</v>
      </c>
      <c r="V3662">
        <v>0</v>
      </c>
      <c r="W3662">
        <v>0</v>
      </c>
      <c r="X3662">
        <v>0</v>
      </c>
      <c r="Y3662">
        <v>0</v>
      </c>
      <c r="Z3662">
        <v>0</v>
      </c>
      <c r="AA3662">
        <v>0</v>
      </c>
      <c r="AC3662">
        <v>21.6</v>
      </c>
    </row>
    <row r="3663" spans="1:29">
      <c r="A3663">
        <v>3656</v>
      </c>
      <c r="B3663">
        <v>3775</v>
      </c>
      <c r="C3663" t="s">
        <v>7514</v>
      </c>
      <c r="D3663" t="s">
        <v>108</v>
      </c>
      <c r="E3663" t="s">
        <v>5330</v>
      </c>
      <c r="F3663" t="s">
        <v>7515</v>
      </c>
      <c r="G3663" t="str">
        <f>"00865089"</f>
        <v>00865089</v>
      </c>
      <c r="H3663">
        <v>21.6</v>
      </c>
      <c r="I3663">
        <v>0</v>
      </c>
      <c r="M3663">
        <v>0</v>
      </c>
      <c r="N3663">
        <v>0</v>
      </c>
      <c r="O3663">
        <v>0</v>
      </c>
      <c r="P3663">
        <v>21.6</v>
      </c>
      <c r="Q3663">
        <v>0</v>
      </c>
      <c r="R3663">
        <v>0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0</v>
      </c>
      <c r="Y3663">
        <v>0</v>
      </c>
      <c r="Z3663">
        <v>0</v>
      </c>
      <c r="AA3663">
        <v>0</v>
      </c>
      <c r="AC3663">
        <v>21.6</v>
      </c>
    </row>
    <row r="3664" spans="1:29">
      <c r="A3664">
        <v>3657</v>
      </c>
      <c r="B3664">
        <v>4375</v>
      </c>
      <c r="C3664" t="s">
        <v>7516</v>
      </c>
      <c r="D3664" t="s">
        <v>86</v>
      </c>
      <c r="E3664" t="s">
        <v>134</v>
      </c>
      <c r="F3664" t="s">
        <v>7517</v>
      </c>
      <c r="G3664" t="str">
        <f>"00555526"</f>
        <v>00555526</v>
      </c>
      <c r="H3664">
        <v>21.6</v>
      </c>
      <c r="I3664">
        <v>0</v>
      </c>
      <c r="M3664">
        <v>0</v>
      </c>
      <c r="N3664">
        <v>0</v>
      </c>
      <c r="O3664">
        <v>0</v>
      </c>
      <c r="P3664">
        <v>21.6</v>
      </c>
      <c r="Q3664">
        <v>0</v>
      </c>
      <c r="R3664">
        <v>0</v>
      </c>
      <c r="S3664">
        <v>0</v>
      </c>
      <c r="T3664">
        <v>0</v>
      </c>
      <c r="U3664">
        <v>0</v>
      </c>
      <c r="V3664">
        <v>0</v>
      </c>
      <c r="W3664">
        <v>0</v>
      </c>
      <c r="X3664">
        <v>0</v>
      </c>
      <c r="Y3664">
        <v>0</v>
      </c>
      <c r="Z3664">
        <v>0</v>
      </c>
      <c r="AA3664">
        <v>0</v>
      </c>
      <c r="AC3664">
        <v>21.6</v>
      </c>
    </row>
    <row r="3665" spans="1:29">
      <c r="A3665">
        <v>3658</v>
      </c>
      <c r="B3665">
        <v>4657</v>
      </c>
      <c r="C3665" t="s">
        <v>7518</v>
      </c>
      <c r="D3665" t="s">
        <v>7519</v>
      </c>
      <c r="E3665" t="s">
        <v>7520</v>
      </c>
      <c r="F3665" t="s">
        <v>7521</v>
      </c>
      <c r="G3665" t="str">
        <f>"00866610"</f>
        <v>00866610</v>
      </c>
      <c r="H3665">
        <v>21.6</v>
      </c>
      <c r="I3665">
        <v>0</v>
      </c>
      <c r="M3665">
        <v>0</v>
      </c>
      <c r="N3665">
        <v>0</v>
      </c>
      <c r="O3665">
        <v>0</v>
      </c>
      <c r="P3665">
        <v>21.6</v>
      </c>
      <c r="Q3665">
        <v>0</v>
      </c>
      <c r="R3665">
        <v>0</v>
      </c>
      <c r="S3665">
        <v>0</v>
      </c>
      <c r="T3665">
        <v>0</v>
      </c>
      <c r="U3665">
        <v>0</v>
      </c>
      <c r="V3665">
        <v>0</v>
      </c>
      <c r="W3665">
        <v>0</v>
      </c>
      <c r="X3665">
        <v>0</v>
      </c>
      <c r="Y3665">
        <v>0</v>
      </c>
      <c r="Z3665">
        <v>0</v>
      </c>
      <c r="AA3665">
        <v>0</v>
      </c>
      <c r="AC3665">
        <v>21.6</v>
      </c>
    </row>
    <row r="3666" spans="1:29">
      <c r="A3666">
        <v>3659</v>
      </c>
      <c r="B3666">
        <v>391</v>
      </c>
      <c r="C3666" t="s">
        <v>7505</v>
      </c>
      <c r="D3666" t="s">
        <v>6179</v>
      </c>
      <c r="E3666" t="s">
        <v>15</v>
      </c>
      <c r="F3666" t="s">
        <v>7506</v>
      </c>
      <c r="G3666" t="str">
        <f>"00856793"</f>
        <v>00856793</v>
      </c>
      <c r="H3666">
        <v>21.6</v>
      </c>
      <c r="I3666">
        <v>0</v>
      </c>
      <c r="M3666">
        <v>0</v>
      </c>
      <c r="N3666">
        <v>0</v>
      </c>
      <c r="O3666">
        <v>0</v>
      </c>
      <c r="P3666">
        <v>21.6</v>
      </c>
      <c r="Q3666">
        <v>0</v>
      </c>
      <c r="R3666">
        <v>0</v>
      </c>
      <c r="S3666">
        <v>0</v>
      </c>
      <c r="T3666">
        <v>0</v>
      </c>
      <c r="U3666">
        <v>0</v>
      </c>
      <c r="V3666">
        <v>0</v>
      </c>
      <c r="W3666">
        <v>0</v>
      </c>
      <c r="X3666">
        <v>0</v>
      </c>
      <c r="Y3666">
        <v>0</v>
      </c>
      <c r="Z3666">
        <v>0</v>
      </c>
      <c r="AA3666">
        <v>0</v>
      </c>
      <c r="AC3666">
        <v>21.6</v>
      </c>
    </row>
    <row r="3667" spans="1:29">
      <c r="A3667">
        <v>3660</v>
      </c>
      <c r="B3667">
        <v>902</v>
      </c>
      <c r="C3667" t="s">
        <v>7522</v>
      </c>
      <c r="D3667" t="s">
        <v>52</v>
      </c>
      <c r="E3667" t="s">
        <v>796</v>
      </c>
      <c r="F3667" t="s">
        <v>7523</v>
      </c>
      <c r="G3667" t="str">
        <f>"201604002929"</f>
        <v>201604002929</v>
      </c>
      <c r="H3667">
        <v>15.6</v>
      </c>
      <c r="I3667">
        <v>0</v>
      </c>
      <c r="M3667">
        <v>0</v>
      </c>
      <c r="N3667">
        <v>4</v>
      </c>
      <c r="O3667">
        <v>2</v>
      </c>
      <c r="P3667">
        <v>21.6</v>
      </c>
      <c r="Q3667">
        <v>0</v>
      </c>
      <c r="R3667">
        <v>0</v>
      </c>
      <c r="S3667">
        <v>0</v>
      </c>
      <c r="T3667">
        <v>0</v>
      </c>
      <c r="U3667">
        <v>0</v>
      </c>
      <c r="V3667">
        <v>0</v>
      </c>
      <c r="W3667">
        <v>0</v>
      </c>
      <c r="X3667">
        <v>0</v>
      </c>
      <c r="Y3667">
        <v>0</v>
      </c>
      <c r="Z3667">
        <v>0</v>
      </c>
      <c r="AA3667">
        <v>0</v>
      </c>
      <c r="AC3667">
        <v>21.6</v>
      </c>
    </row>
    <row r="3668" spans="1:29">
      <c r="A3668">
        <v>3661</v>
      </c>
      <c r="B3668">
        <v>2666</v>
      </c>
      <c r="C3668" t="s">
        <v>1988</v>
      </c>
      <c r="D3668" t="s">
        <v>52</v>
      </c>
      <c r="E3668" t="s">
        <v>1450</v>
      </c>
      <c r="F3668" t="s">
        <v>7528</v>
      </c>
      <c r="G3668" t="str">
        <f>"00752434"</f>
        <v>00752434</v>
      </c>
      <c r="H3668">
        <v>14.4</v>
      </c>
      <c r="I3668">
        <v>0</v>
      </c>
      <c r="M3668">
        <v>0</v>
      </c>
      <c r="N3668">
        <v>4</v>
      </c>
      <c r="O3668">
        <v>0</v>
      </c>
      <c r="P3668">
        <v>18.399999999999999</v>
      </c>
      <c r="Q3668">
        <v>0</v>
      </c>
      <c r="R3668">
        <v>0</v>
      </c>
      <c r="S3668">
        <v>0</v>
      </c>
      <c r="T3668">
        <v>0</v>
      </c>
      <c r="U3668">
        <v>0</v>
      </c>
      <c r="V3668">
        <v>0</v>
      </c>
      <c r="W3668">
        <v>0</v>
      </c>
      <c r="X3668">
        <v>0</v>
      </c>
      <c r="Y3668">
        <v>0</v>
      </c>
      <c r="Z3668">
        <v>3</v>
      </c>
      <c r="AA3668">
        <v>0</v>
      </c>
      <c r="AC3668">
        <v>21.4</v>
      </c>
    </row>
    <row r="3669" spans="1:29">
      <c r="A3669">
        <v>3662</v>
      </c>
      <c r="B3669">
        <v>4018</v>
      </c>
      <c r="C3669" t="s">
        <v>7524</v>
      </c>
      <c r="D3669" t="s">
        <v>164</v>
      </c>
      <c r="E3669" t="s">
        <v>32</v>
      </c>
      <c r="F3669" t="s">
        <v>7525</v>
      </c>
      <c r="G3669" t="str">
        <f>"00447936"</f>
        <v>00447936</v>
      </c>
      <c r="H3669">
        <v>14.4</v>
      </c>
      <c r="I3669">
        <v>0</v>
      </c>
      <c r="M3669">
        <v>0</v>
      </c>
      <c r="N3669">
        <v>4</v>
      </c>
      <c r="O3669">
        <v>0</v>
      </c>
      <c r="P3669">
        <v>18.399999999999999</v>
      </c>
      <c r="Q3669">
        <v>0</v>
      </c>
      <c r="R3669">
        <v>0</v>
      </c>
      <c r="S3669">
        <v>0</v>
      </c>
      <c r="T3669">
        <v>0</v>
      </c>
      <c r="U3669">
        <v>0</v>
      </c>
      <c r="V3669">
        <v>0</v>
      </c>
      <c r="W3669">
        <v>0</v>
      </c>
      <c r="X3669">
        <v>0</v>
      </c>
      <c r="Y3669">
        <v>0</v>
      </c>
      <c r="Z3669">
        <v>3</v>
      </c>
      <c r="AA3669">
        <v>0</v>
      </c>
      <c r="AC3669">
        <v>21.4</v>
      </c>
    </row>
    <row r="3670" spans="1:29">
      <c r="A3670">
        <v>3663</v>
      </c>
      <c r="B3670">
        <v>4</v>
      </c>
      <c r="C3670" t="s">
        <v>7531</v>
      </c>
      <c r="D3670" t="s">
        <v>27</v>
      </c>
      <c r="E3670" t="s">
        <v>89</v>
      </c>
      <c r="F3670" t="s">
        <v>7532</v>
      </c>
      <c r="G3670" t="str">
        <f>"00278427"</f>
        <v>00278427</v>
      </c>
      <c r="H3670">
        <v>14.4</v>
      </c>
      <c r="I3670">
        <v>0</v>
      </c>
      <c r="M3670">
        <v>0</v>
      </c>
      <c r="N3670">
        <v>4</v>
      </c>
      <c r="O3670">
        <v>0</v>
      </c>
      <c r="P3670">
        <v>18.399999999999999</v>
      </c>
      <c r="Q3670">
        <v>0</v>
      </c>
      <c r="R3670">
        <v>0</v>
      </c>
      <c r="S3670">
        <v>0</v>
      </c>
      <c r="T3670">
        <v>0</v>
      </c>
      <c r="U3670">
        <v>0</v>
      </c>
      <c r="V3670">
        <v>0</v>
      </c>
      <c r="W3670">
        <v>0</v>
      </c>
      <c r="X3670">
        <v>0</v>
      </c>
      <c r="Y3670">
        <v>0</v>
      </c>
      <c r="Z3670">
        <v>3</v>
      </c>
      <c r="AA3670">
        <v>0</v>
      </c>
      <c r="AC3670">
        <v>21.4</v>
      </c>
    </row>
    <row r="3671" spans="1:29">
      <c r="A3671">
        <v>3664</v>
      </c>
      <c r="B3671">
        <v>3465</v>
      </c>
      <c r="C3671" t="s">
        <v>7526</v>
      </c>
      <c r="D3671" t="s">
        <v>27</v>
      </c>
      <c r="E3671" t="s">
        <v>451</v>
      </c>
      <c r="F3671" t="s">
        <v>7527</v>
      </c>
      <c r="G3671" t="str">
        <f>"00531720"</f>
        <v>00531720</v>
      </c>
      <c r="H3671">
        <v>14.4</v>
      </c>
      <c r="I3671">
        <v>0</v>
      </c>
      <c r="L3671">
        <v>4</v>
      </c>
      <c r="M3671">
        <v>4</v>
      </c>
      <c r="N3671">
        <v>0</v>
      </c>
      <c r="O3671">
        <v>0</v>
      </c>
      <c r="P3671">
        <v>18.399999999999999</v>
      </c>
      <c r="Q3671">
        <v>0</v>
      </c>
      <c r="R3671">
        <v>0</v>
      </c>
      <c r="S3671">
        <v>0</v>
      </c>
      <c r="T3671">
        <v>0</v>
      </c>
      <c r="U3671">
        <v>0</v>
      </c>
      <c r="V3671">
        <v>0</v>
      </c>
      <c r="W3671">
        <v>0</v>
      </c>
      <c r="X3671">
        <v>0</v>
      </c>
      <c r="Y3671">
        <v>0</v>
      </c>
      <c r="Z3671">
        <v>3</v>
      </c>
      <c r="AA3671">
        <v>0</v>
      </c>
      <c r="AC3671">
        <v>21.4</v>
      </c>
    </row>
    <row r="3672" spans="1:29">
      <c r="A3672">
        <v>3665</v>
      </c>
      <c r="B3672">
        <v>2324</v>
      </c>
      <c r="C3672" t="s">
        <v>747</v>
      </c>
      <c r="D3672" t="s">
        <v>7529</v>
      </c>
      <c r="E3672" t="s">
        <v>66</v>
      </c>
      <c r="F3672" t="s">
        <v>7530</v>
      </c>
      <c r="G3672" t="str">
        <f>"00289017"</f>
        <v>00289017</v>
      </c>
      <c r="H3672">
        <v>14.4</v>
      </c>
      <c r="I3672">
        <v>0</v>
      </c>
      <c r="M3672">
        <v>0</v>
      </c>
      <c r="N3672">
        <v>4</v>
      </c>
      <c r="O3672">
        <v>0</v>
      </c>
      <c r="P3672">
        <v>18.399999999999999</v>
      </c>
      <c r="Q3672">
        <v>0</v>
      </c>
      <c r="R3672">
        <v>0</v>
      </c>
      <c r="S3672">
        <v>0</v>
      </c>
      <c r="T3672">
        <v>0</v>
      </c>
      <c r="U3672">
        <v>0</v>
      </c>
      <c r="V3672">
        <v>0</v>
      </c>
      <c r="W3672">
        <v>0</v>
      </c>
      <c r="X3672">
        <v>0</v>
      </c>
      <c r="Y3672">
        <v>0</v>
      </c>
      <c r="Z3672">
        <v>3</v>
      </c>
      <c r="AA3672">
        <v>0</v>
      </c>
      <c r="AC3672">
        <v>21.4</v>
      </c>
    </row>
    <row r="3673" spans="1:29">
      <c r="A3673">
        <v>3666</v>
      </c>
      <c r="B3673">
        <v>1797</v>
      </c>
      <c r="C3673" t="s">
        <v>7533</v>
      </c>
      <c r="D3673" t="s">
        <v>6074</v>
      </c>
      <c r="E3673" t="s">
        <v>115</v>
      </c>
      <c r="F3673" t="s">
        <v>7534</v>
      </c>
      <c r="G3673" t="str">
        <f>"00761771"</f>
        <v>00761771</v>
      </c>
      <c r="H3673">
        <v>14.4</v>
      </c>
      <c r="I3673">
        <v>0</v>
      </c>
      <c r="L3673">
        <v>4</v>
      </c>
      <c r="M3673">
        <v>4</v>
      </c>
      <c r="N3673">
        <v>0</v>
      </c>
      <c r="O3673">
        <v>0</v>
      </c>
      <c r="P3673">
        <v>18.399999999999999</v>
      </c>
      <c r="Q3673">
        <v>0</v>
      </c>
      <c r="R3673">
        <v>0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0</v>
      </c>
      <c r="Y3673">
        <v>0</v>
      </c>
      <c r="Z3673">
        <v>3</v>
      </c>
      <c r="AA3673">
        <v>0</v>
      </c>
      <c r="AC3673">
        <v>21.4</v>
      </c>
    </row>
    <row r="3674" spans="1:29">
      <c r="A3674">
        <v>3667</v>
      </c>
      <c r="B3674">
        <v>125</v>
      </c>
      <c r="C3674" t="s">
        <v>7535</v>
      </c>
      <c r="D3674" t="s">
        <v>2799</v>
      </c>
      <c r="E3674" t="s">
        <v>7536</v>
      </c>
      <c r="F3674" t="s">
        <v>7537</v>
      </c>
      <c r="G3674" t="str">
        <f>"00252167"</f>
        <v>00252167</v>
      </c>
      <c r="H3674">
        <v>12.4</v>
      </c>
      <c r="I3674">
        <v>0</v>
      </c>
      <c r="M3674">
        <v>0</v>
      </c>
      <c r="N3674">
        <v>4</v>
      </c>
      <c r="O3674">
        <v>2</v>
      </c>
      <c r="P3674">
        <v>18.399999999999999</v>
      </c>
      <c r="Q3674">
        <v>0</v>
      </c>
      <c r="R3674">
        <v>0</v>
      </c>
      <c r="S3674">
        <v>0</v>
      </c>
      <c r="T3674">
        <v>0</v>
      </c>
      <c r="U3674">
        <v>0</v>
      </c>
      <c r="V3674">
        <v>0</v>
      </c>
      <c r="W3674">
        <v>0</v>
      </c>
      <c r="X3674">
        <v>0</v>
      </c>
      <c r="Y3674">
        <v>0</v>
      </c>
      <c r="Z3674">
        <v>3</v>
      </c>
      <c r="AA3674">
        <v>0</v>
      </c>
      <c r="AC3674">
        <v>21.4</v>
      </c>
    </row>
    <row r="3675" spans="1:29">
      <c r="A3675">
        <v>3668</v>
      </c>
      <c r="B3675">
        <v>2352</v>
      </c>
      <c r="C3675" t="s">
        <v>7538</v>
      </c>
      <c r="D3675" t="s">
        <v>2714</v>
      </c>
      <c r="E3675" t="s">
        <v>156</v>
      </c>
      <c r="F3675" t="s">
        <v>7539</v>
      </c>
      <c r="G3675" t="str">
        <f>"00673572"</f>
        <v>00673572</v>
      </c>
      <c r="H3675">
        <v>12.28</v>
      </c>
      <c r="I3675">
        <v>0</v>
      </c>
      <c r="M3675">
        <v>0</v>
      </c>
      <c r="N3675">
        <v>0</v>
      </c>
      <c r="O3675">
        <v>0</v>
      </c>
      <c r="P3675">
        <v>12.28</v>
      </c>
      <c r="Q3675">
        <v>0</v>
      </c>
      <c r="R3675">
        <v>0</v>
      </c>
      <c r="S3675">
        <v>0</v>
      </c>
      <c r="T3675">
        <v>0</v>
      </c>
      <c r="U3675">
        <v>0</v>
      </c>
      <c r="V3675">
        <v>0</v>
      </c>
      <c r="W3675">
        <v>0</v>
      </c>
      <c r="X3675">
        <v>0</v>
      </c>
      <c r="Y3675">
        <v>0</v>
      </c>
      <c r="Z3675">
        <v>9</v>
      </c>
      <c r="AA3675">
        <v>0</v>
      </c>
      <c r="AC3675">
        <v>21.28</v>
      </c>
    </row>
    <row r="3676" spans="1:29">
      <c r="A3676">
        <v>3669</v>
      </c>
      <c r="B3676">
        <v>4218</v>
      </c>
      <c r="C3676" t="s">
        <v>4379</v>
      </c>
      <c r="D3676" t="s">
        <v>20</v>
      </c>
      <c r="E3676" t="s">
        <v>156</v>
      </c>
      <c r="F3676" t="s">
        <v>7540</v>
      </c>
      <c r="G3676" t="str">
        <f>"00530548"</f>
        <v>00530548</v>
      </c>
      <c r="H3676">
        <v>21.24</v>
      </c>
      <c r="I3676">
        <v>0</v>
      </c>
      <c r="M3676">
        <v>0</v>
      </c>
      <c r="N3676">
        <v>0</v>
      </c>
      <c r="O3676">
        <v>0</v>
      </c>
      <c r="P3676">
        <v>21.24</v>
      </c>
      <c r="Q3676">
        <v>0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0</v>
      </c>
      <c r="X3676">
        <v>0</v>
      </c>
      <c r="Y3676">
        <v>0</v>
      </c>
      <c r="Z3676">
        <v>0</v>
      </c>
      <c r="AA3676">
        <v>0</v>
      </c>
      <c r="AC3676">
        <v>21.24</v>
      </c>
    </row>
    <row r="3677" spans="1:29">
      <c r="A3677">
        <v>3670</v>
      </c>
      <c r="B3677">
        <v>3565</v>
      </c>
      <c r="C3677" t="s">
        <v>7543</v>
      </c>
      <c r="D3677" t="s">
        <v>739</v>
      </c>
      <c r="E3677" t="s">
        <v>7544</v>
      </c>
      <c r="F3677" t="s">
        <v>7545</v>
      </c>
      <c r="G3677" t="str">
        <f>"00864497"</f>
        <v>00864497</v>
      </c>
      <c r="H3677">
        <v>7.2</v>
      </c>
      <c r="I3677">
        <v>0</v>
      </c>
      <c r="L3677">
        <v>4</v>
      </c>
      <c r="M3677">
        <v>4</v>
      </c>
      <c r="N3677">
        <v>4</v>
      </c>
      <c r="O3677">
        <v>0</v>
      </c>
      <c r="P3677">
        <v>15.2</v>
      </c>
      <c r="Q3677">
        <v>0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0</v>
      </c>
      <c r="Y3677">
        <v>0</v>
      </c>
      <c r="Z3677">
        <v>6</v>
      </c>
      <c r="AA3677">
        <v>0</v>
      </c>
      <c r="AC3677">
        <v>21.2</v>
      </c>
    </row>
    <row r="3678" spans="1:29">
      <c r="A3678">
        <v>3671</v>
      </c>
      <c r="B3678">
        <v>3588</v>
      </c>
      <c r="C3678" t="s">
        <v>7541</v>
      </c>
      <c r="D3678" t="s">
        <v>811</v>
      </c>
      <c r="E3678" t="s">
        <v>89</v>
      </c>
      <c r="F3678" t="s">
        <v>7542</v>
      </c>
      <c r="G3678" t="str">
        <f>"00854858"</f>
        <v>00854858</v>
      </c>
      <c r="H3678">
        <v>7.2</v>
      </c>
      <c r="I3678">
        <v>0</v>
      </c>
      <c r="L3678">
        <v>4</v>
      </c>
      <c r="M3678">
        <v>4</v>
      </c>
      <c r="N3678">
        <v>4</v>
      </c>
      <c r="O3678">
        <v>0</v>
      </c>
      <c r="P3678">
        <v>15.2</v>
      </c>
      <c r="Q3678">
        <v>0</v>
      </c>
      <c r="R3678">
        <v>0</v>
      </c>
      <c r="S3678">
        <v>0</v>
      </c>
      <c r="T3678">
        <v>0</v>
      </c>
      <c r="U3678">
        <v>0</v>
      </c>
      <c r="V3678">
        <v>0</v>
      </c>
      <c r="W3678">
        <v>0</v>
      </c>
      <c r="X3678">
        <v>0</v>
      </c>
      <c r="Y3678">
        <v>0</v>
      </c>
      <c r="Z3678">
        <v>6</v>
      </c>
      <c r="AA3678">
        <v>0</v>
      </c>
      <c r="AC3678">
        <v>21.2</v>
      </c>
    </row>
    <row r="3679" spans="1:29">
      <c r="A3679">
        <v>3672</v>
      </c>
      <c r="B3679">
        <v>4821</v>
      </c>
      <c r="C3679" t="s">
        <v>5945</v>
      </c>
      <c r="D3679" t="s">
        <v>784</v>
      </c>
      <c r="E3679" t="s">
        <v>28</v>
      </c>
      <c r="F3679" t="s">
        <v>7546</v>
      </c>
      <c r="G3679" t="str">
        <f>"00866677"</f>
        <v>00866677</v>
      </c>
      <c r="H3679">
        <v>7.2</v>
      </c>
      <c r="I3679">
        <v>0</v>
      </c>
      <c r="L3679">
        <v>4</v>
      </c>
      <c r="M3679">
        <v>4</v>
      </c>
      <c r="N3679">
        <v>4</v>
      </c>
      <c r="O3679">
        <v>0</v>
      </c>
      <c r="P3679">
        <v>15.2</v>
      </c>
      <c r="Q3679">
        <v>0</v>
      </c>
      <c r="R3679">
        <v>0</v>
      </c>
      <c r="S3679">
        <v>0</v>
      </c>
      <c r="T3679">
        <v>0</v>
      </c>
      <c r="U3679">
        <v>0</v>
      </c>
      <c r="V3679">
        <v>0</v>
      </c>
      <c r="W3679">
        <v>0</v>
      </c>
      <c r="X3679">
        <v>0</v>
      </c>
      <c r="Y3679">
        <v>0</v>
      </c>
      <c r="Z3679">
        <v>6</v>
      </c>
      <c r="AA3679">
        <v>0</v>
      </c>
      <c r="AC3679">
        <v>21.2</v>
      </c>
    </row>
    <row r="3680" spans="1:29">
      <c r="A3680">
        <v>3673</v>
      </c>
      <c r="B3680">
        <v>1851</v>
      </c>
      <c r="C3680" t="s">
        <v>1295</v>
      </c>
      <c r="D3680" t="s">
        <v>5341</v>
      </c>
      <c r="E3680" t="s">
        <v>3139</v>
      </c>
      <c r="F3680" t="s">
        <v>7547</v>
      </c>
      <c r="G3680" t="str">
        <f>"201403000241"</f>
        <v>201403000241</v>
      </c>
      <c r="H3680">
        <v>18.2</v>
      </c>
      <c r="I3680">
        <v>0</v>
      </c>
      <c r="M3680">
        <v>0</v>
      </c>
      <c r="N3680">
        <v>0</v>
      </c>
      <c r="O3680">
        <v>0</v>
      </c>
      <c r="P3680">
        <v>18.2</v>
      </c>
      <c r="Q3680">
        <v>0</v>
      </c>
      <c r="R3680">
        <v>0</v>
      </c>
      <c r="S3680">
        <v>0</v>
      </c>
      <c r="T3680">
        <v>0</v>
      </c>
      <c r="U3680">
        <v>0</v>
      </c>
      <c r="V3680">
        <v>0</v>
      </c>
      <c r="W3680">
        <v>0</v>
      </c>
      <c r="X3680">
        <v>0</v>
      </c>
      <c r="Y3680">
        <v>0</v>
      </c>
      <c r="Z3680">
        <v>3</v>
      </c>
      <c r="AA3680">
        <v>0</v>
      </c>
      <c r="AC3680">
        <v>21.2</v>
      </c>
    </row>
    <row r="3681" spans="1:29">
      <c r="A3681">
        <v>3674</v>
      </c>
      <c r="B3681">
        <v>2572</v>
      </c>
      <c r="C3681" t="s">
        <v>7549</v>
      </c>
      <c r="D3681" t="s">
        <v>1413</v>
      </c>
      <c r="E3681" t="s">
        <v>2862</v>
      </c>
      <c r="F3681" t="s">
        <v>7550</v>
      </c>
      <c r="G3681" t="str">
        <f>"00544451"</f>
        <v>00544451</v>
      </c>
      <c r="H3681">
        <v>21.2</v>
      </c>
      <c r="I3681">
        <v>0</v>
      </c>
      <c r="M3681">
        <v>0</v>
      </c>
      <c r="N3681">
        <v>0</v>
      </c>
      <c r="O3681">
        <v>0</v>
      </c>
      <c r="P3681">
        <v>21.2</v>
      </c>
      <c r="Q3681">
        <v>0</v>
      </c>
      <c r="R3681">
        <v>0</v>
      </c>
      <c r="S3681">
        <v>0</v>
      </c>
      <c r="T3681">
        <v>0</v>
      </c>
      <c r="U3681">
        <v>0</v>
      </c>
      <c r="V3681">
        <v>0</v>
      </c>
      <c r="W3681">
        <v>0</v>
      </c>
      <c r="X3681">
        <v>0</v>
      </c>
      <c r="Y3681">
        <v>0</v>
      </c>
      <c r="Z3681">
        <v>0</v>
      </c>
      <c r="AA3681">
        <v>0</v>
      </c>
      <c r="AC3681">
        <v>21.2</v>
      </c>
    </row>
    <row r="3682" spans="1:29">
      <c r="A3682">
        <v>3675</v>
      </c>
      <c r="B3682">
        <v>3638</v>
      </c>
      <c r="C3682" t="s">
        <v>187</v>
      </c>
      <c r="D3682" t="s">
        <v>35</v>
      </c>
      <c r="E3682" t="s">
        <v>237</v>
      </c>
      <c r="F3682" t="s">
        <v>7548</v>
      </c>
      <c r="G3682" t="str">
        <f>"00862321"</f>
        <v>00862321</v>
      </c>
      <c r="H3682">
        <v>21.2</v>
      </c>
      <c r="I3682">
        <v>0</v>
      </c>
      <c r="M3682">
        <v>0</v>
      </c>
      <c r="N3682">
        <v>0</v>
      </c>
      <c r="O3682">
        <v>0</v>
      </c>
      <c r="P3682">
        <v>21.2</v>
      </c>
      <c r="Q3682">
        <v>0</v>
      </c>
      <c r="R3682">
        <v>0</v>
      </c>
      <c r="S3682">
        <v>0</v>
      </c>
      <c r="T3682">
        <v>0</v>
      </c>
      <c r="U3682">
        <v>0</v>
      </c>
      <c r="V3682">
        <v>0</v>
      </c>
      <c r="W3682">
        <v>0</v>
      </c>
      <c r="X3682">
        <v>0</v>
      </c>
      <c r="Y3682">
        <v>0</v>
      </c>
      <c r="Z3682">
        <v>0</v>
      </c>
      <c r="AA3682">
        <v>0</v>
      </c>
      <c r="AC3682">
        <v>21.2</v>
      </c>
    </row>
    <row r="3683" spans="1:29">
      <c r="A3683">
        <v>3676</v>
      </c>
      <c r="B3683">
        <v>3025</v>
      </c>
      <c r="C3683" t="s">
        <v>7551</v>
      </c>
      <c r="D3683" t="s">
        <v>24</v>
      </c>
      <c r="E3683" t="s">
        <v>967</v>
      </c>
      <c r="F3683" t="s">
        <v>7552</v>
      </c>
      <c r="G3683" t="str">
        <f>"00210595"</f>
        <v>00210595</v>
      </c>
      <c r="H3683">
        <v>15.2</v>
      </c>
      <c r="I3683">
        <v>0</v>
      </c>
      <c r="L3683">
        <v>4</v>
      </c>
      <c r="M3683">
        <v>4</v>
      </c>
      <c r="N3683">
        <v>0</v>
      </c>
      <c r="O3683">
        <v>2</v>
      </c>
      <c r="P3683">
        <v>21.2</v>
      </c>
      <c r="Q3683">
        <v>0</v>
      </c>
      <c r="R3683">
        <v>0</v>
      </c>
      <c r="S3683">
        <v>0</v>
      </c>
      <c r="T3683">
        <v>0</v>
      </c>
      <c r="U3683">
        <v>0</v>
      </c>
      <c r="V3683">
        <v>0</v>
      </c>
      <c r="W3683">
        <v>0</v>
      </c>
      <c r="X3683">
        <v>0</v>
      </c>
      <c r="Y3683">
        <v>0</v>
      </c>
      <c r="Z3683">
        <v>0</v>
      </c>
      <c r="AA3683">
        <v>0</v>
      </c>
      <c r="AC3683">
        <v>21.2</v>
      </c>
    </row>
    <row r="3684" spans="1:29">
      <c r="A3684">
        <v>3677</v>
      </c>
      <c r="B3684">
        <v>3608</v>
      </c>
      <c r="C3684" t="s">
        <v>7556</v>
      </c>
      <c r="D3684" t="s">
        <v>1150</v>
      </c>
      <c r="E3684" t="s">
        <v>79</v>
      </c>
      <c r="F3684" t="s">
        <v>7557</v>
      </c>
      <c r="G3684" t="str">
        <f>"00864049"</f>
        <v>00864049</v>
      </c>
      <c r="H3684">
        <v>7.2</v>
      </c>
      <c r="I3684">
        <v>0</v>
      </c>
      <c r="J3684">
        <v>8</v>
      </c>
      <c r="M3684">
        <v>8</v>
      </c>
      <c r="N3684">
        <v>4</v>
      </c>
      <c r="O3684">
        <v>2</v>
      </c>
      <c r="P3684">
        <v>21.2</v>
      </c>
      <c r="Q3684">
        <v>0</v>
      </c>
      <c r="R3684">
        <v>0</v>
      </c>
      <c r="S3684">
        <v>0</v>
      </c>
      <c r="T3684">
        <v>0</v>
      </c>
      <c r="U3684">
        <v>0</v>
      </c>
      <c r="V3684">
        <v>0</v>
      </c>
      <c r="W3684">
        <v>0</v>
      </c>
      <c r="X3684">
        <v>0</v>
      </c>
      <c r="Y3684">
        <v>0</v>
      </c>
      <c r="Z3684">
        <v>0</v>
      </c>
      <c r="AA3684">
        <v>0</v>
      </c>
      <c r="AC3684">
        <v>21.2</v>
      </c>
    </row>
    <row r="3685" spans="1:29">
      <c r="A3685">
        <v>3678</v>
      </c>
      <c r="B3685">
        <v>3207</v>
      </c>
      <c r="C3685" t="s">
        <v>7554</v>
      </c>
      <c r="D3685" t="s">
        <v>784</v>
      </c>
      <c r="E3685" t="s">
        <v>89</v>
      </c>
      <c r="F3685" t="s">
        <v>7555</v>
      </c>
      <c r="G3685" t="str">
        <f>"00162191"</f>
        <v>00162191</v>
      </c>
      <c r="H3685">
        <v>7.2</v>
      </c>
      <c r="I3685">
        <v>0</v>
      </c>
      <c r="L3685">
        <v>8</v>
      </c>
      <c r="M3685">
        <v>8</v>
      </c>
      <c r="N3685">
        <v>4</v>
      </c>
      <c r="O3685">
        <v>2</v>
      </c>
      <c r="P3685">
        <v>21.2</v>
      </c>
      <c r="Q3685">
        <v>0</v>
      </c>
      <c r="R3685">
        <v>0</v>
      </c>
      <c r="S3685">
        <v>0</v>
      </c>
      <c r="T3685">
        <v>0</v>
      </c>
      <c r="U3685">
        <v>0</v>
      </c>
      <c r="V3685">
        <v>0</v>
      </c>
      <c r="W3685">
        <v>0</v>
      </c>
      <c r="X3685">
        <v>0</v>
      </c>
      <c r="Y3685">
        <v>0</v>
      </c>
      <c r="Z3685">
        <v>0</v>
      </c>
      <c r="AA3685">
        <v>0</v>
      </c>
      <c r="AC3685">
        <v>21.2</v>
      </c>
    </row>
    <row r="3686" spans="1:29">
      <c r="A3686">
        <v>3679</v>
      </c>
      <c r="B3686">
        <v>4329</v>
      </c>
      <c r="C3686" t="s">
        <v>5547</v>
      </c>
      <c r="D3686" t="s">
        <v>27</v>
      </c>
      <c r="E3686" t="s">
        <v>15</v>
      </c>
      <c r="F3686" t="s">
        <v>7553</v>
      </c>
      <c r="G3686" t="str">
        <f>"00792492"</f>
        <v>00792492</v>
      </c>
      <c r="H3686">
        <v>7.2</v>
      </c>
      <c r="I3686">
        <v>0</v>
      </c>
      <c r="J3686">
        <v>8</v>
      </c>
      <c r="M3686">
        <v>8</v>
      </c>
      <c r="N3686">
        <v>4</v>
      </c>
      <c r="O3686">
        <v>2</v>
      </c>
      <c r="P3686">
        <v>21.2</v>
      </c>
      <c r="Q3686">
        <v>0</v>
      </c>
      <c r="R3686">
        <v>0</v>
      </c>
      <c r="S3686">
        <v>0</v>
      </c>
      <c r="T3686">
        <v>0</v>
      </c>
      <c r="U3686">
        <v>0</v>
      </c>
      <c r="V3686">
        <v>0</v>
      </c>
      <c r="W3686">
        <v>0</v>
      </c>
      <c r="X3686">
        <v>0</v>
      </c>
      <c r="Y3686">
        <v>0</v>
      </c>
      <c r="Z3686">
        <v>0</v>
      </c>
      <c r="AA3686">
        <v>0</v>
      </c>
      <c r="AC3686">
        <v>21.2</v>
      </c>
    </row>
    <row r="3687" spans="1:29">
      <c r="A3687">
        <v>3680</v>
      </c>
      <c r="B3687">
        <v>2526</v>
      </c>
      <c r="C3687" t="s">
        <v>342</v>
      </c>
      <c r="D3687" t="s">
        <v>39</v>
      </c>
      <c r="E3687" t="s">
        <v>3248</v>
      </c>
      <c r="F3687" t="s">
        <v>7560</v>
      </c>
      <c r="G3687" t="str">
        <f>"00150109"</f>
        <v>00150109</v>
      </c>
      <c r="H3687">
        <v>7.2</v>
      </c>
      <c r="I3687">
        <v>0</v>
      </c>
      <c r="L3687">
        <v>4</v>
      </c>
      <c r="M3687">
        <v>4</v>
      </c>
      <c r="N3687">
        <v>4</v>
      </c>
      <c r="O3687">
        <v>0</v>
      </c>
      <c r="P3687">
        <v>15.2</v>
      </c>
      <c r="Q3687">
        <v>6</v>
      </c>
      <c r="R3687">
        <v>6</v>
      </c>
      <c r="S3687">
        <v>0</v>
      </c>
      <c r="T3687">
        <v>0</v>
      </c>
      <c r="U3687">
        <v>0</v>
      </c>
      <c r="V3687">
        <v>0</v>
      </c>
      <c r="W3687">
        <v>0</v>
      </c>
      <c r="X3687">
        <v>0</v>
      </c>
      <c r="Y3687">
        <v>6</v>
      </c>
      <c r="Z3687">
        <v>0</v>
      </c>
      <c r="AA3687">
        <v>0</v>
      </c>
      <c r="AC3687">
        <v>21.2</v>
      </c>
    </row>
    <row r="3688" spans="1:29">
      <c r="A3688">
        <v>3681</v>
      </c>
      <c r="B3688">
        <v>2200</v>
      </c>
      <c r="C3688" t="s">
        <v>7558</v>
      </c>
      <c r="D3688" t="s">
        <v>7559</v>
      </c>
      <c r="E3688" t="s">
        <v>122</v>
      </c>
      <c r="F3688">
        <v>9240</v>
      </c>
      <c r="G3688" t="str">
        <f>"00021235"</f>
        <v>00021235</v>
      </c>
      <c r="H3688">
        <v>7.2</v>
      </c>
      <c r="I3688">
        <v>0</v>
      </c>
      <c r="L3688">
        <v>4</v>
      </c>
      <c r="M3688">
        <v>4</v>
      </c>
      <c r="N3688">
        <v>4</v>
      </c>
      <c r="O3688">
        <v>0</v>
      </c>
      <c r="P3688">
        <v>15.2</v>
      </c>
      <c r="Q3688">
        <v>6</v>
      </c>
      <c r="R3688">
        <v>6</v>
      </c>
      <c r="S3688">
        <v>0</v>
      </c>
      <c r="T3688">
        <v>0</v>
      </c>
      <c r="U3688">
        <v>0</v>
      </c>
      <c r="V3688">
        <v>0</v>
      </c>
      <c r="W3688">
        <v>0</v>
      </c>
      <c r="X3688">
        <v>0</v>
      </c>
      <c r="Y3688">
        <v>6</v>
      </c>
      <c r="Z3688">
        <v>0</v>
      </c>
      <c r="AA3688">
        <v>0</v>
      </c>
      <c r="AC3688">
        <v>21.2</v>
      </c>
    </row>
    <row r="3689" spans="1:29">
      <c r="A3689">
        <v>3682</v>
      </c>
      <c r="B3689">
        <v>213</v>
      </c>
      <c r="C3689" t="s">
        <v>7561</v>
      </c>
      <c r="D3689" t="s">
        <v>98</v>
      </c>
      <c r="E3689" t="s">
        <v>66</v>
      </c>
      <c r="F3689" t="s">
        <v>7562</v>
      </c>
      <c r="G3689" t="str">
        <f>"00515131"</f>
        <v>00515131</v>
      </c>
      <c r="H3689">
        <v>7.2</v>
      </c>
      <c r="I3689">
        <v>0</v>
      </c>
      <c r="M3689">
        <v>0</v>
      </c>
      <c r="N3689">
        <v>4</v>
      </c>
      <c r="O3689">
        <v>0</v>
      </c>
      <c r="P3689">
        <v>11.2</v>
      </c>
      <c r="Q3689">
        <v>10</v>
      </c>
      <c r="R3689">
        <v>10</v>
      </c>
      <c r="S3689">
        <v>0</v>
      </c>
      <c r="T3689">
        <v>0</v>
      </c>
      <c r="U3689">
        <v>0</v>
      </c>
      <c r="V3689">
        <v>0</v>
      </c>
      <c r="W3689">
        <v>0</v>
      </c>
      <c r="X3689">
        <v>0</v>
      </c>
      <c r="Y3689">
        <v>10</v>
      </c>
      <c r="Z3689">
        <v>0</v>
      </c>
      <c r="AA3689">
        <v>0</v>
      </c>
      <c r="AC3689">
        <v>21.2</v>
      </c>
    </row>
    <row r="3690" spans="1:29">
      <c r="A3690">
        <v>3683</v>
      </c>
      <c r="B3690">
        <v>3167</v>
      </c>
      <c r="C3690" t="s">
        <v>2411</v>
      </c>
      <c r="D3690" t="s">
        <v>959</v>
      </c>
      <c r="E3690" t="s">
        <v>36</v>
      </c>
      <c r="F3690" t="s">
        <v>7563</v>
      </c>
      <c r="G3690" t="str">
        <f>"00862729"</f>
        <v>00862729</v>
      </c>
      <c r="H3690">
        <v>18.16</v>
      </c>
      <c r="I3690">
        <v>0</v>
      </c>
      <c r="M3690">
        <v>0</v>
      </c>
      <c r="N3690">
        <v>0</v>
      </c>
      <c r="O3690">
        <v>0</v>
      </c>
      <c r="P3690">
        <v>18.16</v>
      </c>
      <c r="Q3690">
        <v>0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0</v>
      </c>
      <c r="X3690">
        <v>0</v>
      </c>
      <c r="Y3690">
        <v>0</v>
      </c>
      <c r="Z3690">
        <v>3</v>
      </c>
      <c r="AA3690">
        <v>0</v>
      </c>
      <c r="AC3690">
        <v>21.16</v>
      </c>
    </row>
    <row r="3691" spans="1:29">
      <c r="A3691">
        <v>3684</v>
      </c>
      <c r="B3691">
        <v>2971</v>
      </c>
      <c r="C3691" t="s">
        <v>7564</v>
      </c>
      <c r="D3691" t="s">
        <v>164</v>
      </c>
      <c r="E3691" t="s">
        <v>115</v>
      </c>
      <c r="F3691" t="s">
        <v>7565</v>
      </c>
      <c r="G3691" t="str">
        <f>"00861605"</f>
        <v>00861605</v>
      </c>
      <c r="H3691">
        <v>21.16</v>
      </c>
      <c r="I3691">
        <v>0</v>
      </c>
      <c r="M3691">
        <v>0</v>
      </c>
      <c r="N3691">
        <v>0</v>
      </c>
      <c r="O3691">
        <v>0</v>
      </c>
      <c r="P3691">
        <v>21.16</v>
      </c>
      <c r="Q3691">
        <v>0</v>
      </c>
      <c r="R3691">
        <v>0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0</v>
      </c>
      <c r="Y3691">
        <v>0</v>
      </c>
      <c r="Z3691">
        <v>0</v>
      </c>
      <c r="AA3691">
        <v>0</v>
      </c>
      <c r="AC3691">
        <v>21.16</v>
      </c>
    </row>
    <row r="3692" spans="1:29">
      <c r="A3692">
        <v>3685</v>
      </c>
      <c r="B3692">
        <v>1304</v>
      </c>
      <c r="C3692" t="s">
        <v>7566</v>
      </c>
      <c r="D3692" t="s">
        <v>52</v>
      </c>
      <c r="E3692" t="s">
        <v>165</v>
      </c>
      <c r="F3692" t="s">
        <v>7567</v>
      </c>
      <c r="G3692" t="str">
        <f>"00749375"</f>
        <v>00749375</v>
      </c>
      <c r="H3692">
        <v>18.12</v>
      </c>
      <c r="I3692">
        <v>0</v>
      </c>
      <c r="M3692">
        <v>0</v>
      </c>
      <c r="N3692">
        <v>0</v>
      </c>
      <c r="O3692">
        <v>0</v>
      </c>
      <c r="P3692">
        <v>18.12</v>
      </c>
      <c r="Q3692">
        <v>0</v>
      </c>
      <c r="R3692">
        <v>0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0</v>
      </c>
      <c r="Y3692">
        <v>0</v>
      </c>
      <c r="Z3692">
        <v>3</v>
      </c>
      <c r="AA3692">
        <v>0</v>
      </c>
      <c r="AC3692">
        <v>21.12</v>
      </c>
    </row>
    <row r="3693" spans="1:29">
      <c r="A3693">
        <v>3686</v>
      </c>
      <c r="B3693">
        <v>2102</v>
      </c>
      <c r="C3693" t="s">
        <v>7569</v>
      </c>
      <c r="D3693" t="s">
        <v>52</v>
      </c>
      <c r="E3693" t="s">
        <v>1020</v>
      </c>
      <c r="F3693" t="s">
        <v>7570</v>
      </c>
      <c r="G3693" t="str">
        <f>"00814851"</f>
        <v>00814851</v>
      </c>
      <c r="H3693">
        <v>0</v>
      </c>
      <c r="I3693">
        <v>0</v>
      </c>
      <c r="J3693">
        <v>8</v>
      </c>
      <c r="M3693">
        <v>8</v>
      </c>
      <c r="N3693">
        <v>4</v>
      </c>
      <c r="O3693">
        <v>0</v>
      </c>
      <c r="P3693">
        <v>12</v>
      </c>
      <c r="Q3693">
        <v>0</v>
      </c>
      <c r="R3693">
        <v>0</v>
      </c>
      <c r="S3693">
        <v>0</v>
      </c>
      <c r="T3693">
        <v>0</v>
      </c>
      <c r="U3693">
        <v>0</v>
      </c>
      <c r="V3693">
        <v>0</v>
      </c>
      <c r="W3693">
        <v>0</v>
      </c>
      <c r="X3693">
        <v>0</v>
      </c>
      <c r="Y3693">
        <v>0</v>
      </c>
      <c r="Z3693">
        <v>9</v>
      </c>
      <c r="AA3693">
        <v>0</v>
      </c>
      <c r="AC3693">
        <v>21</v>
      </c>
    </row>
    <row r="3694" spans="1:29">
      <c r="A3694">
        <v>3687</v>
      </c>
      <c r="B3694">
        <v>4654</v>
      </c>
      <c r="C3694" t="s">
        <v>195</v>
      </c>
      <c r="D3694" t="s">
        <v>784</v>
      </c>
      <c r="E3694" t="s">
        <v>79</v>
      </c>
      <c r="F3694" t="s">
        <v>7568</v>
      </c>
      <c r="G3694" t="str">
        <f>"00518961"</f>
        <v>00518961</v>
      </c>
      <c r="H3694">
        <v>0</v>
      </c>
      <c r="I3694">
        <v>0</v>
      </c>
      <c r="J3694">
        <v>8</v>
      </c>
      <c r="M3694">
        <v>8</v>
      </c>
      <c r="N3694">
        <v>4</v>
      </c>
      <c r="O3694">
        <v>0</v>
      </c>
      <c r="P3694">
        <v>12</v>
      </c>
      <c r="Q3694">
        <v>0</v>
      </c>
      <c r="R3694">
        <v>0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0</v>
      </c>
      <c r="Y3694">
        <v>0</v>
      </c>
      <c r="Z3694">
        <v>9</v>
      </c>
      <c r="AA3694">
        <v>0</v>
      </c>
      <c r="AC3694">
        <v>21</v>
      </c>
    </row>
    <row r="3695" spans="1:29">
      <c r="A3695">
        <v>3688</v>
      </c>
      <c r="B3695">
        <v>2098</v>
      </c>
      <c r="C3695" t="s">
        <v>1605</v>
      </c>
      <c r="D3695" t="s">
        <v>27</v>
      </c>
      <c r="E3695" t="s">
        <v>18</v>
      </c>
      <c r="F3695" t="s">
        <v>7571</v>
      </c>
      <c r="G3695" t="str">
        <f>"00533025"</f>
        <v>00533025</v>
      </c>
      <c r="H3695">
        <v>0</v>
      </c>
      <c r="I3695">
        <v>0</v>
      </c>
      <c r="M3695">
        <v>0</v>
      </c>
      <c r="N3695">
        <v>0</v>
      </c>
      <c r="O3695">
        <v>2</v>
      </c>
      <c r="P3695">
        <v>2</v>
      </c>
      <c r="Q3695">
        <v>13</v>
      </c>
      <c r="R3695">
        <v>13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0</v>
      </c>
      <c r="Y3695">
        <v>13</v>
      </c>
      <c r="Z3695">
        <v>6</v>
      </c>
      <c r="AA3695">
        <v>0</v>
      </c>
      <c r="AC3695">
        <v>21</v>
      </c>
    </row>
    <row r="3696" spans="1:29">
      <c r="A3696">
        <v>3689</v>
      </c>
      <c r="B3696">
        <v>3458</v>
      </c>
      <c r="C3696" t="s">
        <v>3100</v>
      </c>
      <c r="D3696" t="s">
        <v>108</v>
      </c>
      <c r="E3696" t="s">
        <v>134</v>
      </c>
      <c r="F3696" t="s">
        <v>7572</v>
      </c>
      <c r="G3696" t="str">
        <f>"201412001574"</f>
        <v>201412001574</v>
      </c>
      <c r="H3696">
        <v>0</v>
      </c>
      <c r="I3696">
        <v>0</v>
      </c>
      <c r="L3696">
        <v>4</v>
      </c>
      <c r="M3696">
        <v>4</v>
      </c>
      <c r="N3696">
        <v>4</v>
      </c>
      <c r="O3696">
        <v>2</v>
      </c>
      <c r="P3696">
        <v>10</v>
      </c>
      <c r="Q3696">
        <v>11</v>
      </c>
      <c r="R3696">
        <v>11</v>
      </c>
      <c r="S3696">
        <v>0</v>
      </c>
      <c r="T3696">
        <v>0</v>
      </c>
      <c r="U3696">
        <v>0</v>
      </c>
      <c r="V3696">
        <v>0</v>
      </c>
      <c r="W3696">
        <v>0</v>
      </c>
      <c r="X3696">
        <v>0</v>
      </c>
      <c r="Y3696">
        <v>11</v>
      </c>
      <c r="Z3696">
        <v>0</v>
      </c>
      <c r="AA3696">
        <v>0</v>
      </c>
      <c r="AC3696">
        <v>21</v>
      </c>
    </row>
    <row r="3697" spans="1:29">
      <c r="A3697">
        <v>3690</v>
      </c>
      <c r="B3697">
        <v>2862</v>
      </c>
      <c r="C3697" t="s">
        <v>7573</v>
      </c>
      <c r="D3697" t="s">
        <v>52</v>
      </c>
      <c r="E3697" t="s">
        <v>237</v>
      </c>
      <c r="F3697" t="s">
        <v>7574</v>
      </c>
      <c r="G3697" t="str">
        <f>"00496674"</f>
        <v>00496674</v>
      </c>
      <c r="H3697">
        <v>0</v>
      </c>
      <c r="I3697">
        <v>0</v>
      </c>
      <c r="M3697">
        <v>0</v>
      </c>
      <c r="N3697">
        <v>4</v>
      </c>
      <c r="O3697">
        <v>0</v>
      </c>
      <c r="P3697">
        <v>4</v>
      </c>
      <c r="Q3697">
        <v>17</v>
      </c>
      <c r="R3697">
        <v>17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0</v>
      </c>
      <c r="Y3697">
        <v>17</v>
      </c>
      <c r="Z3697">
        <v>0</v>
      </c>
      <c r="AA3697">
        <v>0</v>
      </c>
      <c r="AC3697">
        <v>21</v>
      </c>
    </row>
    <row r="3698" spans="1:29">
      <c r="A3698">
        <v>3691</v>
      </c>
      <c r="B3698">
        <v>116</v>
      </c>
      <c r="C3698" t="s">
        <v>7575</v>
      </c>
      <c r="D3698" t="s">
        <v>7576</v>
      </c>
      <c r="E3698" t="s">
        <v>7577</v>
      </c>
      <c r="F3698" t="s">
        <v>7578</v>
      </c>
      <c r="G3698" t="str">
        <f>"00489690"</f>
        <v>00489690</v>
      </c>
      <c r="H3698">
        <v>6.8</v>
      </c>
      <c r="I3698">
        <v>0</v>
      </c>
      <c r="M3698">
        <v>0</v>
      </c>
      <c r="N3698">
        <v>0</v>
      </c>
      <c r="O3698">
        <v>0</v>
      </c>
      <c r="P3698">
        <v>6.8</v>
      </c>
      <c r="Q3698">
        <v>11</v>
      </c>
      <c r="R3698">
        <v>11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0</v>
      </c>
      <c r="Y3698">
        <v>11</v>
      </c>
      <c r="Z3698">
        <v>3</v>
      </c>
      <c r="AA3698">
        <v>0</v>
      </c>
      <c r="AC3698">
        <v>20.8</v>
      </c>
    </row>
    <row r="3699" spans="1:29">
      <c r="A3699">
        <v>3692</v>
      </c>
      <c r="B3699">
        <v>4899</v>
      </c>
      <c r="C3699" t="s">
        <v>7579</v>
      </c>
      <c r="D3699" t="s">
        <v>2487</v>
      </c>
      <c r="E3699" t="s">
        <v>79</v>
      </c>
      <c r="F3699" t="s">
        <v>7580</v>
      </c>
      <c r="G3699" t="str">
        <f>"00865756"</f>
        <v>00865756</v>
      </c>
      <c r="H3699">
        <v>20.8</v>
      </c>
      <c r="I3699">
        <v>0</v>
      </c>
      <c r="M3699">
        <v>0</v>
      </c>
      <c r="N3699">
        <v>0</v>
      </c>
      <c r="O3699">
        <v>0</v>
      </c>
      <c r="P3699">
        <v>20.8</v>
      </c>
      <c r="Q3699">
        <v>0</v>
      </c>
      <c r="R3699">
        <v>0</v>
      </c>
      <c r="S3699">
        <v>0</v>
      </c>
      <c r="T3699">
        <v>0</v>
      </c>
      <c r="U3699">
        <v>0</v>
      </c>
      <c r="V3699">
        <v>0</v>
      </c>
      <c r="W3699">
        <v>0</v>
      </c>
      <c r="X3699">
        <v>0</v>
      </c>
      <c r="Y3699">
        <v>0</v>
      </c>
      <c r="Z3699">
        <v>0</v>
      </c>
      <c r="AA3699">
        <v>0</v>
      </c>
      <c r="AC3699">
        <v>20.8</v>
      </c>
    </row>
    <row r="3700" spans="1:29">
      <c r="A3700">
        <v>3693</v>
      </c>
      <c r="B3700">
        <v>4088</v>
      </c>
      <c r="C3700" t="s">
        <v>7581</v>
      </c>
      <c r="D3700" t="s">
        <v>7582</v>
      </c>
      <c r="E3700" t="s">
        <v>134</v>
      </c>
      <c r="F3700" t="s">
        <v>7583</v>
      </c>
      <c r="G3700" t="str">
        <f>"00865021"</f>
        <v>00865021</v>
      </c>
      <c r="H3700">
        <v>20.8</v>
      </c>
      <c r="I3700">
        <v>0</v>
      </c>
      <c r="M3700">
        <v>0</v>
      </c>
      <c r="N3700">
        <v>0</v>
      </c>
      <c r="O3700">
        <v>0</v>
      </c>
      <c r="P3700">
        <v>20.8</v>
      </c>
      <c r="Q3700">
        <v>0</v>
      </c>
      <c r="R3700">
        <v>0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0</v>
      </c>
      <c r="Y3700">
        <v>0</v>
      </c>
      <c r="Z3700">
        <v>0</v>
      </c>
      <c r="AA3700">
        <v>0</v>
      </c>
      <c r="AC3700">
        <v>20.8</v>
      </c>
    </row>
    <row r="3701" spans="1:29">
      <c r="A3701">
        <v>3694</v>
      </c>
      <c r="B3701">
        <v>4706</v>
      </c>
      <c r="C3701" t="s">
        <v>7584</v>
      </c>
      <c r="D3701" t="s">
        <v>276</v>
      </c>
      <c r="E3701" t="s">
        <v>60</v>
      </c>
      <c r="F3701" t="s">
        <v>7585</v>
      </c>
      <c r="G3701" t="str">
        <f>"00658277"</f>
        <v>00658277</v>
      </c>
      <c r="H3701">
        <v>20.72</v>
      </c>
      <c r="I3701">
        <v>0</v>
      </c>
      <c r="M3701">
        <v>0</v>
      </c>
      <c r="N3701">
        <v>0</v>
      </c>
      <c r="O3701">
        <v>0</v>
      </c>
      <c r="P3701">
        <v>20.72</v>
      </c>
      <c r="Q3701">
        <v>0</v>
      </c>
      <c r="R3701">
        <v>0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0</v>
      </c>
      <c r="Y3701">
        <v>0</v>
      </c>
      <c r="Z3701">
        <v>0</v>
      </c>
      <c r="AA3701">
        <v>0</v>
      </c>
      <c r="AC3701">
        <v>20.72</v>
      </c>
    </row>
    <row r="3702" spans="1:29">
      <c r="A3702">
        <v>3695</v>
      </c>
      <c r="B3702">
        <v>3754</v>
      </c>
      <c r="C3702" t="s">
        <v>7586</v>
      </c>
      <c r="D3702" t="s">
        <v>130</v>
      </c>
      <c r="E3702" t="s">
        <v>15</v>
      </c>
      <c r="F3702" t="s">
        <v>7587</v>
      </c>
      <c r="G3702" t="str">
        <f>"00531316"</f>
        <v>00531316</v>
      </c>
      <c r="H3702">
        <v>14.48</v>
      </c>
      <c r="I3702">
        <v>0</v>
      </c>
      <c r="M3702">
        <v>0</v>
      </c>
      <c r="N3702">
        <v>0</v>
      </c>
      <c r="O3702">
        <v>0</v>
      </c>
      <c r="P3702">
        <v>14.48</v>
      </c>
      <c r="Q3702">
        <v>0</v>
      </c>
      <c r="R3702">
        <v>0</v>
      </c>
      <c r="S3702">
        <v>0</v>
      </c>
      <c r="T3702">
        <v>0</v>
      </c>
      <c r="U3702">
        <v>0</v>
      </c>
      <c r="V3702">
        <v>0</v>
      </c>
      <c r="W3702">
        <v>0</v>
      </c>
      <c r="X3702">
        <v>0</v>
      </c>
      <c r="Y3702">
        <v>0</v>
      </c>
      <c r="Z3702">
        <v>6</v>
      </c>
      <c r="AA3702">
        <v>0</v>
      </c>
      <c r="AC3702">
        <v>20.48</v>
      </c>
    </row>
    <row r="3703" spans="1:29">
      <c r="A3703">
        <v>3696</v>
      </c>
      <c r="B3703">
        <v>4209</v>
      </c>
      <c r="C3703" t="s">
        <v>7597</v>
      </c>
      <c r="D3703" t="s">
        <v>175</v>
      </c>
      <c r="E3703" t="s">
        <v>187</v>
      </c>
      <c r="F3703" t="s">
        <v>7598</v>
      </c>
      <c r="G3703" t="str">
        <f>"00862482"</f>
        <v>00862482</v>
      </c>
      <c r="H3703">
        <v>14.4</v>
      </c>
      <c r="I3703">
        <v>0</v>
      </c>
      <c r="M3703">
        <v>0</v>
      </c>
      <c r="N3703">
        <v>0</v>
      </c>
      <c r="O3703">
        <v>0</v>
      </c>
      <c r="P3703">
        <v>14.4</v>
      </c>
      <c r="Q3703">
        <v>0</v>
      </c>
      <c r="R3703">
        <v>0</v>
      </c>
      <c r="S3703">
        <v>0</v>
      </c>
      <c r="T3703">
        <v>0</v>
      </c>
      <c r="U3703">
        <v>0</v>
      </c>
      <c r="V3703">
        <v>0</v>
      </c>
      <c r="W3703">
        <v>0</v>
      </c>
      <c r="X3703">
        <v>0</v>
      </c>
      <c r="Y3703">
        <v>0</v>
      </c>
      <c r="Z3703">
        <v>6</v>
      </c>
      <c r="AA3703">
        <v>0</v>
      </c>
      <c r="AC3703">
        <v>20.399999999999999</v>
      </c>
    </row>
    <row r="3704" spans="1:29">
      <c r="A3704">
        <v>3697</v>
      </c>
      <c r="B3704">
        <v>2570</v>
      </c>
      <c r="C3704" t="s">
        <v>7589</v>
      </c>
      <c r="D3704" t="s">
        <v>433</v>
      </c>
      <c r="E3704" t="s">
        <v>60</v>
      </c>
      <c r="F3704" t="s">
        <v>7590</v>
      </c>
      <c r="G3704" t="str">
        <f>"00686126"</f>
        <v>00686126</v>
      </c>
      <c r="H3704">
        <v>14.4</v>
      </c>
      <c r="I3704">
        <v>0</v>
      </c>
      <c r="M3704">
        <v>0</v>
      </c>
      <c r="N3704">
        <v>0</v>
      </c>
      <c r="O3704">
        <v>0</v>
      </c>
      <c r="P3704">
        <v>14.4</v>
      </c>
      <c r="Q3704">
        <v>0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0</v>
      </c>
      <c r="Y3704">
        <v>0</v>
      </c>
      <c r="Z3704">
        <v>6</v>
      </c>
      <c r="AA3704">
        <v>0</v>
      </c>
      <c r="AC3704">
        <v>20.399999999999999</v>
      </c>
    </row>
    <row r="3705" spans="1:29">
      <c r="A3705">
        <v>3698</v>
      </c>
      <c r="B3705">
        <v>3267</v>
      </c>
      <c r="C3705" t="s">
        <v>7593</v>
      </c>
      <c r="D3705" t="s">
        <v>7594</v>
      </c>
      <c r="E3705" t="s">
        <v>7595</v>
      </c>
      <c r="F3705" t="s">
        <v>7596</v>
      </c>
      <c r="G3705" t="str">
        <f>"00560695"</f>
        <v>00560695</v>
      </c>
      <c r="H3705">
        <v>14.4</v>
      </c>
      <c r="I3705">
        <v>0</v>
      </c>
      <c r="M3705">
        <v>0</v>
      </c>
      <c r="N3705">
        <v>0</v>
      </c>
      <c r="O3705">
        <v>0</v>
      </c>
      <c r="P3705">
        <v>14.4</v>
      </c>
      <c r="Q3705">
        <v>0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0</v>
      </c>
      <c r="Y3705">
        <v>0</v>
      </c>
      <c r="Z3705">
        <v>6</v>
      </c>
      <c r="AA3705">
        <v>0</v>
      </c>
      <c r="AC3705">
        <v>20.399999999999999</v>
      </c>
    </row>
    <row r="3706" spans="1:29">
      <c r="A3706">
        <v>3699</v>
      </c>
      <c r="B3706">
        <v>2064</v>
      </c>
      <c r="C3706" t="s">
        <v>1960</v>
      </c>
      <c r="D3706" t="s">
        <v>3981</v>
      </c>
      <c r="E3706" t="s">
        <v>224</v>
      </c>
      <c r="F3706" t="s">
        <v>7588</v>
      </c>
      <c r="G3706" t="str">
        <f>"00860442"</f>
        <v>00860442</v>
      </c>
      <c r="H3706">
        <v>14.4</v>
      </c>
      <c r="I3706">
        <v>0</v>
      </c>
      <c r="M3706">
        <v>0</v>
      </c>
      <c r="N3706">
        <v>0</v>
      </c>
      <c r="O3706">
        <v>0</v>
      </c>
      <c r="P3706">
        <v>14.4</v>
      </c>
      <c r="Q3706">
        <v>0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0</v>
      </c>
      <c r="X3706">
        <v>0</v>
      </c>
      <c r="Y3706">
        <v>0</v>
      </c>
      <c r="Z3706">
        <v>6</v>
      </c>
      <c r="AA3706">
        <v>0</v>
      </c>
      <c r="AC3706">
        <v>20.399999999999999</v>
      </c>
    </row>
    <row r="3707" spans="1:29">
      <c r="A3707">
        <v>3700</v>
      </c>
      <c r="B3707">
        <v>4201</v>
      </c>
      <c r="C3707" t="s">
        <v>7599</v>
      </c>
      <c r="D3707" t="s">
        <v>7600</v>
      </c>
      <c r="E3707" t="s">
        <v>7601</v>
      </c>
      <c r="F3707" t="s">
        <v>7602</v>
      </c>
      <c r="G3707" t="str">
        <f>"00864231"</f>
        <v>00864231</v>
      </c>
      <c r="H3707">
        <v>14.4</v>
      </c>
      <c r="I3707">
        <v>0</v>
      </c>
      <c r="M3707">
        <v>0</v>
      </c>
      <c r="N3707">
        <v>0</v>
      </c>
      <c r="O3707">
        <v>0</v>
      </c>
      <c r="P3707">
        <v>14.4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0</v>
      </c>
      <c r="Y3707">
        <v>0</v>
      </c>
      <c r="Z3707">
        <v>6</v>
      </c>
      <c r="AA3707">
        <v>0</v>
      </c>
      <c r="AC3707">
        <v>20.399999999999999</v>
      </c>
    </row>
    <row r="3708" spans="1:29">
      <c r="A3708">
        <v>3701</v>
      </c>
      <c r="B3708">
        <v>3427</v>
      </c>
      <c r="C3708" t="s">
        <v>7591</v>
      </c>
      <c r="D3708" t="s">
        <v>164</v>
      </c>
      <c r="E3708" t="s">
        <v>967</v>
      </c>
      <c r="F3708" t="s">
        <v>7592</v>
      </c>
      <c r="G3708" t="str">
        <f>"00263230"</f>
        <v>00263230</v>
      </c>
      <c r="H3708">
        <v>14.4</v>
      </c>
      <c r="I3708">
        <v>0</v>
      </c>
      <c r="M3708">
        <v>0</v>
      </c>
      <c r="N3708">
        <v>0</v>
      </c>
      <c r="O3708">
        <v>0</v>
      </c>
      <c r="P3708">
        <v>14.4</v>
      </c>
      <c r="Q3708">
        <v>0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0</v>
      </c>
      <c r="Y3708">
        <v>0</v>
      </c>
      <c r="Z3708">
        <v>6</v>
      </c>
      <c r="AA3708">
        <v>0</v>
      </c>
      <c r="AC3708">
        <v>20.399999999999999</v>
      </c>
    </row>
    <row r="3709" spans="1:29">
      <c r="A3709">
        <v>3702</v>
      </c>
      <c r="B3709">
        <v>671</v>
      </c>
      <c r="C3709" t="s">
        <v>1404</v>
      </c>
      <c r="D3709" t="s">
        <v>39</v>
      </c>
      <c r="E3709" t="s">
        <v>53</v>
      </c>
      <c r="F3709" t="s">
        <v>7603</v>
      </c>
      <c r="G3709" t="str">
        <f>"00527325"</f>
        <v>00527325</v>
      </c>
      <c r="H3709">
        <v>16.399999999999999</v>
      </c>
      <c r="I3709">
        <v>0</v>
      </c>
      <c r="M3709">
        <v>0</v>
      </c>
      <c r="N3709">
        <v>4</v>
      </c>
      <c r="O3709">
        <v>0</v>
      </c>
      <c r="P3709">
        <v>20.399999999999999</v>
      </c>
      <c r="Q3709">
        <v>0</v>
      </c>
      <c r="R3709">
        <v>0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0</v>
      </c>
      <c r="Y3709">
        <v>0</v>
      </c>
      <c r="Z3709">
        <v>0</v>
      </c>
      <c r="AA3709">
        <v>0</v>
      </c>
      <c r="AC3709">
        <v>20.399999999999999</v>
      </c>
    </row>
    <row r="3710" spans="1:29">
      <c r="A3710">
        <v>3703</v>
      </c>
      <c r="B3710">
        <v>930</v>
      </c>
      <c r="C3710" t="s">
        <v>7609</v>
      </c>
      <c r="D3710" t="s">
        <v>86</v>
      </c>
      <c r="E3710" t="s">
        <v>15</v>
      </c>
      <c r="F3710" t="s">
        <v>7610</v>
      </c>
      <c r="G3710" t="str">
        <f>"201406013085"</f>
        <v>201406013085</v>
      </c>
      <c r="H3710">
        <v>14.4</v>
      </c>
      <c r="I3710">
        <v>0</v>
      </c>
      <c r="M3710">
        <v>0</v>
      </c>
      <c r="N3710">
        <v>4</v>
      </c>
      <c r="O3710">
        <v>2</v>
      </c>
      <c r="P3710">
        <v>20.399999999999999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0</v>
      </c>
      <c r="Y3710">
        <v>0</v>
      </c>
      <c r="Z3710">
        <v>0</v>
      </c>
      <c r="AA3710">
        <v>0</v>
      </c>
      <c r="AC3710">
        <v>20.399999999999999</v>
      </c>
    </row>
    <row r="3711" spans="1:29">
      <c r="A3711">
        <v>3704</v>
      </c>
      <c r="B3711">
        <v>3635</v>
      </c>
      <c r="C3711" t="s">
        <v>7605</v>
      </c>
      <c r="D3711" t="s">
        <v>52</v>
      </c>
      <c r="E3711" t="s">
        <v>15</v>
      </c>
      <c r="F3711" t="s">
        <v>7606</v>
      </c>
      <c r="G3711" t="str">
        <f>"00860954"</f>
        <v>00860954</v>
      </c>
      <c r="H3711">
        <v>14.4</v>
      </c>
      <c r="I3711">
        <v>0</v>
      </c>
      <c r="L3711">
        <v>4</v>
      </c>
      <c r="M3711">
        <v>4</v>
      </c>
      <c r="N3711">
        <v>0</v>
      </c>
      <c r="O3711">
        <v>2</v>
      </c>
      <c r="P3711">
        <v>20.399999999999999</v>
      </c>
      <c r="Q3711">
        <v>0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0</v>
      </c>
      <c r="Y3711">
        <v>0</v>
      </c>
      <c r="Z3711">
        <v>0</v>
      </c>
      <c r="AA3711">
        <v>0</v>
      </c>
      <c r="AC3711">
        <v>20.399999999999999</v>
      </c>
    </row>
    <row r="3712" spans="1:29">
      <c r="A3712">
        <v>3705</v>
      </c>
      <c r="B3712">
        <v>4523</v>
      </c>
      <c r="C3712" t="s">
        <v>374</v>
      </c>
      <c r="D3712" t="s">
        <v>608</v>
      </c>
      <c r="E3712" t="s">
        <v>7613</v>
      </c>
      <c r="F3712" t="s">
        <v>7614</v>
      </c>
      <c r="G3712" t="str">
        <f>"00866629"</f>
        <v>00866629</v>
      </c>
      <c r="H3712">
        <v>14.4</v>
      </c>
      <c r="I3712">
        <v>0</v>
      </c>
      <c r="L3712">
        <v>4</v>
      </c>
      <c r="M3712">
        <v>4</v>
      </c>
      <c r="N3712">
        <v>0</v>
      </c>
      <c r="O3712">
        <v>2</v>
      </c>
      <c r="P3712">
        <v>20.399999999999999</v>
      </c>
      <c r="Q3712">
        <v>0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0</v>
      </c>
      <c r="X3712">
        <v>0</v>
      </c>
      <c r="Y3712">
        <v>0</v>
      </c>
      <c r="Z3712">
        <v>0</v>
      </c>
      <c r="AA3712">
        <v>0</v>
      </c>
      <c r="AC3712">
        <v>20.399999999999999</v>
      </c>
    </row>
    <row r="3713" spans="1:29">
      <c r="A3713">
        <v>3706</v>
      </c>
      <c r="B3713">
        <v>2251</v>
      </c>
      <c r="C3713" t="s">
        <v>3718</v>
      </c>
      <c r="D3713" t="s">
        <v>130</v>
      </c>
      <c r="E3713" t="s">
        <v>2589</v>
      </c>
      <c r="F3713" t="s">
        <v>7612</v>
      </c>
      <c r="G3713" t="str">
        <f>"00865168"</f>
        <v>00865168</v>
      </c>
      <c r="H3713">
        <v>14.4</v>
      </c>
      <c r="I3713">
        <v>0</v>
      </c>
      <c r="M3713">
        <v>0</v>
      </c>
      <c r="N3713">
        <v>4</v>
      </c>
      <c r="O3713">
        <v>2</v>
      </c>
      <c r="P3713">
        <v>20.399999999999999</v>
      </c>
      <c r="Q3713">
        <v>0</v>
      </c>
      <c r="R3713">
        <v>0</v>
      </c>
      <c r="S3713">
        <v>0</v>
      </c>
      <c r="T3713">
        <v>0</v>
      </c>
      <c r="U3713">
        <v>0</v>
      </c>
      <c r="V3713">
        <v>0</v>
      </c>
      <c r="W3713">
        <v>0</v>
      </c>
      <c r="X3713">
        <v>0</v>
      </c>
      <c r="Y3713">
        <v>0</v>
      </c>
      <c r="Z3713">
        <v>0</v>
      </c>
      <c r="AA3713">
        <v>0</v>
      </c>
      <c r="AC3713">
        <v>20.399999999999999</v>
      </c>
    </row>
    <row r="3714" spans="1:29">
      <c r="A3714">
        <v>3707</v>
      </c>
      <c r="B3714">
        <v>4513</v>
      </c>
      <c r="C3714" t="s">
        <v>7615</v>
      </c>
      <c r="D3714" t="s">
        <v>7616</v>
      </c>
      <c r="E3714" t="s">
        <v>237</v>
      </c>
      <c r="F3714" t="s">
        <v>7617</v>
      </c>
      <c r="G3714" t="str">
        <f>"00866414"</f>
        <v>00866414</v>
      </c>
      <c r="H3714">
        <v>14.4</v>
      </c>
      <c r="I3714">
        <v>0</v>
      </c>
      <c r="L3714">
        <v>4</v>
      </c>
      <c r="M3714">
        <v>4</v>
      </c>
      <c r="N3714">
        <v>0</v>
      </c>
      <c r="O3714">
        <v>2</v>
      </c>
      <c r="P3714">
        <v>20.399999999999999</v>
      </c>
      <c r="Q3714">
        <v>0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0</v>
      </c>
      <c r="Y3714">
        <v>0</v>
      </c>
      <c r="Z3714">
        <v>0</v>
      </c>
      <c r="AA3714">
        <v>0</v>
      </c>
      <c r="AC3714">
        <v>20.399999999999999</v>
      </c>
    </row>
    <row r="3715" spans="1:29">
      <c r="A3715">
        <v>3708</v>
      </c>
      <c r="B3715">
        <v>235</v>
      </c>
      <c r="C3715" t="s">
        <v>909</v>
      </c>
      <c r="D3715" t="s">
        <v>3326</v>
      </c>
      <c r="E3715" t="s">
        <v>115</v>
      </c>
      <c r="F3715" t="s">
        <v>7611</v>
      </c>
      <c r="G3715" t="str">
        <f>"201511032941"</f>
        <v>201511032941</v>
      </c>
      <c r="H3715">
        <v>14.4</v>
      </c>
      <c r="I3715">
        <v>0</v>
      </c>
      <c r="M3715">
        <v>0</v>
      </c>
      <c r="N3715">
        <v>4</v>
      </c>
      <c r="O3715">
        <v>2</v>
      </c>
      <c r="P3715">
        <v>20.399999999999999</v>
      </c>
      <c r="Q3715">
        <v>0</v>
      </c>
      <c r="R3715">
        <v>0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0</v>
      </c>
      <c r="Y3715">
        <v>0</v>
      </c>
      <c r="Z3715">
        <v>0</v>
      </c>
      <c r="AA3715">
        <v>0</v>
      </c>
      <c r="AC3715">
        <v>20.399999999999999</v>
      </c>
    </row>
    <row r="3716" spans="1:29">
      <c r="A3716">
        <v>3709</v>
      </c>
      <c r="B3716">
        <v>1794</v>
      </c>
      <c r="C3716" t="s">
        <v>1131</v>
      </c>
      <c r="D3716" t="s">
        <v>27</v>
      </c>
      <c r="E3716" t="s">
        <v>156</v>
      </c>
      <c r="F3716" t="s">
        <v>7604</v>
      </c>
      <c r="G3716" t="str">
        <f>"00864880"</f>
        <v>00864880</v>
      </c>
      <c r="H3716">
        <v>14.4</v>
      </c>
      <c r="I3716">
        <v>0</v>
      </c>
      <c r="M3716">
        <v>0</v>
      </c>
      <c r="N3716">
        <v>4</v>
      </c>
      <c r="O3716">
        <v>2</v>
      </c>
      <c r="P3716">
        <v>20.399999999999999</v>
      </c>
      <c r="Q3716">
        <v>0</v>
      </c>
      <c r="R3716">
        <v>0</v>
      </c>
      <c r="S3716">
        <v>0</v>
      </c>
      <c r="T3716">
        <v>0</v>
      </c>
      <c r="U3716">
        <v>0</v>
      </c>
      <c r="V3716">
        <v>0</v>
      </c>
      <c r="W3716">
        <v>0</v>
      </c>
      <c r="X3716">
        <v>0</v>
      </c>
      <c r="Y3716">
        <v>0</v>
      </c>
      <c r="Z3716">
        <v>0</v>
      </c>
      <c r="AA3716">
        <v>0</v>
      </c>
      <c r="AC3716">
        <v>20.399999999999999</v>
      </c>
    </row>
    <row r="3717" spans="1:29">
      <c r="A3717">
        <v>3710</v>
      </c>
      <c r="B3717">
        <v>1644</v>
      </c>
      <c r="C3717" t="s">
        <v>7607</v>
      </c>
      <c r="D3717" t="s">
        <v>98</v>
      </c>
      <c r="E3717" t="s">
        <v>187</v>
      </c>
      <c r="F3717" t="s">
        <v>7608</v>
      </c>
      <c r="G3717" t="str">
        <f>"00533216"</f>
        <v>00533216</v>
      </c>
      <c r="H3717">
        <v>14.4</v>
      </c>
      <c r="I3717">
        <v>0</v>
      </c>
      <c r="M3717">
        <v>0</v>
      </c>
      <c r="N3717">
        <v>4</v>
      </c>
      <c r="O3717">
        <v>2</v>
      </c>
      <c r="P3717">
        <v>20.399999999999999</v>
      </c>
      <c r="Q3717">
        <v>0</v>
      </c>
      <c r="R3717">
        <v>0</v>
      </c>
      <c r="S3717">
        <v>0</v>
      </c>
      <c r="T3717">
        <v>0</v>
      </c>
      <c r="U3717">
        <v>0</v>
      </c>
      <c r="V3717">
        <v>0</v>
      </c>
      <c r="W3717">
        <v>0</v>
      </c>
      <c r="X3717">
        <v>0</v>
      </c>
      <c r="Y3717">
        <v>0</v>
      </c>
      <c r="Z3717">
        <v>0</v>
      </c>
      <c r="AA3717">
        <v>0</v>
      </c>
      <c r="AB3717" t="s">
        <v>128</v>
      </c>
      <c r="AC3717">
        <v>20.399999999999999</v>
      </c>
    </row>
    <row r="3718" spans="1:29">
      <c r="A3718">
        <v>3711</v>
      </c>
      <c r="B3718">
        <v>3567</v>
      </c>
      <c r="C3718" t="s">
        <v>24</v>
      </c>
      <c r="D3718" t="s">
        <v>7618</v>
      </c>
      <c r="E3718" t="s">
        <v>15</v>
      </c>
      <c r="F3718" t="s">
        <v>7619</v>
      </c>
      <c r="G3718" t="str">
        <f>"00497949"</f>
        <v>00497949</v>
      </c>
      <c r="H3718">
        <v>7.2</v>
      </c>
      <c r="I3718">
        <v>0</v>
      </c>
      <c r="M3718">
        <v>0</v>
      </c>
      <c r="N3718">
        <v>4</v>
      </c>
      <c r="O3718">
        <v>0</v>
      </c>
      <c r="P3718">
        <v>11.2</v>
      </c>
      <c r="Q3718">
        <v>0</v>
      </c>
      <c r="R3718">
        <v>0</v>
      </c>
      <c r="S3718">
        <v>0</v>
      </c>
      <c r="T3718">
        <v>0</v>
      </c>
      <c r="U3718">
        <v>0</v>
      </c>
      <c r="V3718">
        <v>0</v>
      </c>
      <c r="W3718">
        <v>0</v>
      </c>
      <c r="X3718">
        <v>0</v>
      </c>
      <c r="Y3718">
        <v>0</v>
      </c>
      <c r="Z3718">
        <v>9</v>
      </c>
      <c r="AA3718">
        <v>0</v>
      </c>
      <c r="AC3718">
        <v>20.2</v>
      </c>
    </row>
    <row r="3719" spans="1:29">
      <c r="A3719">
        <v>3712</v>
      </c>
      <c r="B3719">
        <v>1946</v>
      </c>
      <c r="C3719" t="s">
        <v>7620</v>
      </c>
      <c r="D3719" t="s">
        <v>20</v>
      </c>
      <c r="E3719" t="s">
        <v>436</v>
      </c>
      <c r="F3719" t="s">
        <v>7621</v>
      </c>
      <c r="G3719" t="str">
        <f>"00863814"</f>
        <v>00863814</v>
      </c>
      <c r="H3719">
        <v>7.2</v>
      </c>
      <c r="I3719">
        <v>10</v>
      </c>
      <c r="M3719">
        <v>0</v>
      </c>
      <c r="N3719">
        <v>0</v>
      </c>
      <c r="O3719">
        <v>0</v>
      </c>
      <c r="P3719">
        <v>17.2</v>
      </c>
      <c r="Q3719">
        <v>0</v>
      </c>
      <c r="R3719">
        <v>0</v>
      </c>
      <c r="S3719">
        <v>0</v>
      </c>
      <c r="T3719">
        <v>0</v>
      </c>
      <c r="U3719">
        <v>0</v>
      </c>
      <c r="V3719">
        <v>0</v>
      </c>
      <c r="W3719">
        <v>0</v>
      </c>
      <c r="X3719">
        <v>0</v>
      </c>
      <c r="Y3719">
        <v>0</v>
      </c>
      <c r="Z3719">
        <v>3</v>
      </c>
      <c r="AA3719">
        <v>0</v>
      </c>
      <c r="AC3719">
        <v>20.2</v>
      </c>
    </row>
    <row r="3720" spans="1:29">
      <c r="A3720">
        <v>3713</v>
      </c>
      <c r="B3720">
        <v>1780</v>
      </c>
      <c r="C3720" t="s">
        <v>1131</v>
      </c>
      <c r="D3720" t="s">
        <v>86</v>
      </c>
      <c r="E3720" t="s">
        <v>156</v>
      </c>
      <c r="F3720" t="s">
        <v>7624</v>
      </c>
      <c r="G3720" t="str">
        <f>"00210307"</f>
        <v>00210307</v>
      </c>
      <c r="H3720">
        <v>7.2</v>
      </c>
      <c r="I3720">
        <v>0</v>
      </c>
      <c r="L3720">
        <v>4</v>
      </c>
      <c r="M3720">
        <v>4</v>
      </c>
      <c r="N3720">
        <v>4</v>
      </c>
      <c r="O3720">
        <v>2</v>
      </c>
      <c r="P3720">
        <v>17.2</v>
      </c>
      <c r="Q3720">
        <v>0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0</v>
      </c>
      <c r="X3720">
        <v>0</v>
      </c>
      <c r="Y3720">
        <v>0</v>
      </c>
      <c r="Z3720">
        <v>3</v>
      </c>
      <c r="AA3720">
        <v>0</v>
      </c>
      <c r="AC3720">
        <v>20.2</v>
      </c>
    </row>
    <row r="3721" spans="1:29">
      <c r="A3721">
        <v>3714</v>
      </c>
      <c r="B3721">
        <v>1749</v>
      </c>
      <c r="C3721" t="s">
        <v>7622</v>
      </c>
      <c r="D3721" t="s">
        <v>1653</v>
      </c>
      <c r="E3721" t="s">
        <v>187</v>
      </c>
      <c r="F3721" t="s">
        <v>7623</v>
      </c>
      <c r="G3721" t="str">
        <f>"00859632"</f>
        <v>00859632</v>
      </c>
      <c r="H3721">
        <v>7.2</v>
      </c>
      <c r="I3721">
        <v>0</v>
      </c>
      <c r="L3721">
        <v>4</v>
      </c>
      <c r="M3721">
        <v>4</v>
      </c>
      <c r="N3721">
        <v>4</v>
      </c>
      <c r="O3721">
        <v>2</v>
      </c>
      <c r="P3721">
        <v>17.2</v>
      </c>
      <c r="Q3721">
        <v>0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0</v>
      </c>
      <c r="Y3721">
        <v>0</v>
      </c>
      <c r="Z3721">
        <v>3</v>
      </c>
      <c r="AA3721">
        <v>0</v>
      </c>
      <c r="AC3721">
        <v>20.2</v>
      </c>
    </row>
    <row r="3722" spans="1:29">
      <c r="A3722">
        <v>3715</v>
      </c>
      <c r="B3722">
        <v>2512</v>
      </c>
      <c r="C3722" t="s">
        <v>7625</v>
      </c>
      <c r="D3722" t="s">
        <v>7626</v>
      </c>
      <c r="E3722" t="s">
        <v>79</v>
      </c>
      <c r="F3722" t="s">
        <v>7627</v>
      </c>
      <c r="G3722" t="str">
        <f>"00531411"</f>
        <v>00531411</v>
      </c>
      <c r="H3722">
        <v>7.2</v>
      </c>
      <c r="I3722">
        <v>0</v>
      </c>
      <c r="M3722">
        <v>0</v>
      </c>
      <c r="N3722">
        <v>0</v>
      </c>
      <c r="O3722">
        <v>2</v>
      </c>
      <c r="P3722">
        <v>9.1999999999999993</v>
      </c>
      <c r="Q3722">
        <v>8</v>
      </c>
      <c r="R3722">
        <v>8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0</v>
      </c>
      <c r="Y3722">
        <v>8</v>
      </c>
      <c r="Z3722">
        <v>3</v>
      </c>
      <c r="AA3722">
        <v>0</v>
      </c>
      <c r="AC3722">
        <v>20.2</v>
      </c>
    </row>
    <row r="3723" spans="1:29">
      <c r="A3723">
        <v>3716</v>
      </c>
      <c r="B3723">
        <v>3838</v>
      </c>
      <c r="C3723" t="s">
        <v>7628</v>
      </c>
      <c r="D3723" t="s">
        <v>7629</v>
      </c>
      <c r="E3723" t="s">
        <v>15</v>
      </c>
      <c r="F3723" t="s">
        <v>7630</v>
      </c>
      <c r="G3723" t="str">
        <f>"00533587"</f>
        <v>00533587</v>
      </c>
      <c r="H3723">
        <v>7.2</v>
      </c>
      <c r="I3723">
        <v>0</v>
      </c>
      <c r="M3723">
        <v>0</v>
      </c>
      <c r="N3723">
        <v>4</v>
      </c>
      <c r="O3723">
        <v>2</v>
      </c>
      <c r="P3723">
        <v>13.2</v>
      </c>
      <c r="Q3723">
        <v>7</v>
      </c>
      <c r="R3723">
        <v>7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0</v>
      </c>
      <c r="Y3723">
        <v>7</v>
      </c>
      <c r="Z3723">
        <v>0</v>
      </c>
      <c r="AA3723">
        <v>0</v>
      </c>
      <c r="AC3723">
        <v>20.2</v>
      </c>
    </row>
    <row r="3724" spans="1:29">
      <c r="A3724">
        <v>3717</v>
      </c>
      <c r="B3724">
        <v>3006</v>
      </c>
      <c r="C3724" t="s">
        <v>2137</v>
      </c>
      <c r="D3724" t="s">
        <v>205</v>
      </c>
      <c r="E3724" t="s">
        <v>233</v>
      </c>
      <c r="F3724" t="s">
        <v>7631</v>
      </c>
      <c r="G3724" t="str">
        <f>"00149040"</f>
        <v>00149040</v>
      </c>
      <c r="H3724">
        <v>7.2</v>
      </c>
      <c r="I3724">
        <v>0</v>
      </c>
      <c r="M3724">
        <v>0</v>
      </c>
      <c r="N3724">
        <v>0</v>
      </c>
      <c r="O3724">
        <v>2</v>
      </c>
      <c r="P3724">
        <v>9.1999999999999993</v>
      </c>
      <c r="Q3724">
        <v>11</v>
      </c>
      <c r="R3724">
        <v>11</v>
      </c>
      <c r="S3724">
        <v>0</v>
      </c>
      <c r="T3724">
        <v>0</v>
      </c>
      <c r="U3724">
        <v>0</v>
      </c>
      <c r="V3724">
        <v>0</v>
      </c>
      <c r="W3724">
        <v>0</v>
      </c>
      <c r="X3724">
        <v>0</v>
      </c>
      <c r="Y3724">
        <v>11</v>
      </c>
      <c r="Z3724">
        <v>0</v>
      </c>
      <c r="AA3724">
        <v>0</v>
      </c>
      <c r="AC3724">
        <v>20.2</v>
      </c>
    </row>
    <row r="3725" spans="1:29">
      <c r="A3725">
        <v>3718</v>
      </c>
      <c r="B3725">
        <v>4642</v>
      </c>
      <c r="C3725" t="s">
        <v>543</v>
      </c>
      <c r="D3725" t="s">
        <v>266</v>
      </c>
      <c r="E3725" t="s">
        <v>156</v>
      </c>
      <c r="F3725" t="s">
        <v>7632</v>
      </c>
      <c r="G3725" t="str">
        <f>"00524123"</f>
        <v>00524123</v>
      </c>
      <c r="H3725">
        <v>14.12</v>
      </c>
      <c r="I3725">
        <v>0</v>
      </c>
      <c r="M3725">
        <v>0</v>
      </c>
      <c r="N3725">
        <v>4</v>
      </c>
      <c r="O3725">
        <v>2</v>
      </c>
      <c r="P3725">
        <v>20.12</v>
      </c>
      <c r="Q3725">
        <v>0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0</v>
      </c>
      <c r="Y3725">
        <v>0</v>
      </c>
      <c r="Z3725">
        <v>0</v>
      </c>
      <c r="AA3725">
        <v>0</v>
      </c>
      <c r="AC3725">
        <v>20.12</v>
      </c>
    </row>
    <row r="3726" spans="1:29">
      <c r="A3726">
        <v>3719</v>
      </c>
      <c r="B3726">
        <v>848</v>
      </c>
      <c r="C3726" t="s">
        <v>7633</v>
      </c>
      <c r="D3726" t="s">
        <v>7634</v>
      </c>
      <c r="E3726" t="s">
        <v>122</v>
      </c>
      <c r="F3726" t="s">
        <v>7635</v>
      </c>
      <c r="G3726" t="str">
        <f>"00857097"</f>
        <v>00857097</v>
      </c>
      <c r="H3726">
        <v>14</v>
      </c>
      <c r="I3726">
        <v>0</v>
      </c>
      <c r="M3726">
        <v>0</v>
      </c>
      <c r="N3726">
        <v>0</v>
      </c>
      <c r="O3726">
        <v>0</v>
      </c>
      <c r="P3726">
        <v>14</v>
      </c>
      <c r="Q3726">
        <v>0</v>
      </c>
      <c r="R3726">
        <v>0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0</v>
      </c>
      <c r="Y3726">
        <v>0</v>
      </c>
      <c r="Z3726">
        <v>6</v>
      </c>
      <c r="AA3726">
        <v>0</v>
      </c>
      <c r="AC3726">
        <v>20</v>
      </c>
    </row>
    <row r="3727" spans="1:29">
      <c r="A3727">
        <v>3720</v>
      </c>
      <c r="B3727">
        <v>3415</v>
      </c>
      <c r="C3727" t="s">
        <v>7640</v>
      </c>
      <c r="D3727" t="s">
        <v>164</v>
      </c>
      <c r="E3727" t="s">
        <v>156</v>
      </c>
      <c r="F3727" t="s">
        <v>7641</v>
      </c>
      <c r="G3727" t="str">
        <f>"00555396"</f>
        <v>00555396</v>
      </c>
      <c r="H3727">
        <v>0</v>
      </c>
      <c r="I3727">
        <v>10</v>
      </c>
      <c r="L3727">
        <v>4</v>
      </c>
      <c r="M3727">
        <v>4</v>
      </c>
      <c r="N3727">
        <v>0</v>
      </c>
      <c r="O3727">
        <v>0</v>
      </c>
      <c r="P3727">
        <v>14</v>
      </c>
      <c r="Q3727">
        <v>0</v>
      </c>
      <c r="R3727">
        <v>0</v>
      </c>
      <c r="S3727">
        <v>0</v>
      </c>
      <c r="T3727">
        <v>0</v>
      </c>
      <c r="U3727">
        <v>0</v>
      </c>
      <c r="V3727">
        <v>0</v>
      </c>
      <c r="W3727">
        <v>0</v>
      </c>
      <c r="X3727">
        <v>0</v>
      </c>
      <c r="Y3727">
        <v>0</v>
      </c>
      <c r="Z3727">
        <v>6</v>
      </c>
      <c r="AA3727">
        <v>0</v>
      </c>
      <c r="AC3727">
        <v>20</v>
      </c>
    </row>
    <row r="3728" spans="1:29">
      <c r="A3728">
        <v>3721</v>
      </c>
      <c r="B3728">
        <v>1781</v>
      </c>
      <c r="C3728" t="s">
        <v>1076</v>
      </c>
      <c r="D3728" t="s">
        <v>20</v>
      </c>
      <c r="E3728" t="s">
        <v>224</v>
      </c>
      <c r="F3728" t="s">
        <v>7639</v>
      </c>
      <c r="G3728" t="str">
        <f>"00533957"</f>
        <v>00533957</v>
      </c>
      <c r="H3728">
        <v>0</v>
      </c>
      <c r="I3728">
        <v>10</v>
      </c>
      <c r="M3728">
        <v>0</v>
      </c>
      <c r="N3728">
        <v>4</v>
      </c>
      <c r="O3728">
        <v>0</v>
      </c>
      <c r="P3728">
        <v>14</v>
      </c>
      <c r="Q3728">
        <v>0</v>
      </c>
      <c r="R3728">
        <v>0</v>
      </c>
      <c r="S3728">
        <v>0</v>
      </c>
      <c r="T3728">
        <v>0</v>
      </c>
      <c r="U3728">
        <v>0</v>
      </c>
      <c r="V3728">
        <v>0</v>
      </c>
      <c r="W3728">
        <v>0</v>
      </c>
      <c r="X3728">
        <v>0</v>
      </c>
      <c r="Y3728">
        <v>0</v>
      </c>
      <c r="Z3728">
        <v>6</v>
      </c>
      <c r="AA3728">
        <v>0</v>
      </c>
      <c r="AC3728">
        <v>20</v>
      </c>
    </row>
    <row r="3729" spans="1:29">
      <c r="A3729">
        <v>3722</v>
      </c>
      <c r="B3729">
        <v>3843</v>
      </c>
      <c r="C3729" t="s">
        <v>7636</v>
      </c>
      <c r="D3729" t="s">
        <v>7637</v>
      </c>
      <c r="E3729" t="s">
        <v>36</v>
      </c>
      <c r="F3729" t="s">
        <v>7638</v>
      </c>
      <c r="G3729" t="str">
        <f>"00518691"</f>
        <v>00518691</v>
      </c>
      <c r="H3729">
        <v>0</v>
      </c>
      <c r="I3729">
        <v>0</v>
      </c>
      <c r="J3729">
        <v>8</v>
      </c>
      <c r="M3729">
        <v>8</v>
      </c>
      <c r="N3729">
        <v>4</v>
      </c>
      <c r="O3729">
        <v>2</v>
      </c>
      <c r="P3729">
        <v>14</v>
      </c>
      <c r="Q3729">
        <v>0</v>
      </c>
      <c r="R3729">
        <v>0</v>
      </c>
      <c r="S3729">
        <v>0</v>
      </c>
      <c r="T3729">
        <v>0</v>
      </c>
      <c r="U3729">
        <v>0</v>
      </c>
      <c r="V3729">
        <v>0</v>
      </c>
      <c r="W3729">
        <v>0</v>
      </c>
      <c r="X3729">
        <v>0</v>
      </c>
      <c r="Y3729">
        <v>0</v>
      </c>
      <c r="Z3729">
        <v>6</v>
      </c>
      <c r="AA3729">
        <v>0</v>
      </c>
      <c r="AC3729">
        <v>20</v>
      </c>
    </row>
    <row r="3730" spans="1:29">
      <c r="A3730">
        <v>3723</v>
      </c>
      <c r="B3730">
        <v>3060</v>
      </c>
      <c r="C3730" t="s">
        <v>7642</v>
      </c>
      <c r="D3730" t="s">
        <v>733</v>
      </c>
      <c r="E3730" t="s">
        <v>482</v>
      </c>
      <c r="F3730" t="s">
        <v>7643</v>
      </c>
      <c r="G3730" t="str">
        <f>"00864742"</f>
        <v>00864742</v>
      </c>
      <c r="H3730">
        <v>20</v>
      </c>
      <c r="I3730">
        <v>0</v>
      </c>
      <c r="M3730">
        <v>0</v>
      </c>
      <c r="N3730">
        <v>0</v>
      </c>
      <c r="O3730">
        <v>0</v>
      </c>
      <c r="P3730">
        <v>20</v>
      </c>
      <c r="Q3730">
        <v>0</v>
      </c>
      <c r="R3730">
        <v>0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0</v>
      </c>
      <c r="Y3730">
        <v>0</v>
      </c>
      <c r="Z3730">
        <v>0</v>
      </c>
      <c r="AA3730">
        <v>0</v>
      </c>
      <c r="AC3730">
        <v>20</v>
      </c>
    </row>
    <row r="3731" spans="1:29">
      <c r="A3731">
        <v>3724</v>
      </c>
      <c r="B3731">
        <v>4626</v>
      </c>
      <c r="C3731" t="s">
        <v>7646</v>
      </c>
      <c r="D3731" t="s">
        <v>145</v>
      </c>
      <c r="E3731" t="s">
        <v>745</v>
      </c>
      <c r="F3731" t="s">
        <v>7647</v>
      </c>
      <c r="G3731" t="str">
        <f>"00369334"</f>
        <v>00369334</v>
      </c>
      <c r="H3731">
        <v>16</v>
      </c>
      <c r="I3731">
        <v>0</v>
      </c>
      <c r="M3731">
        <v>0</v>
      </c>
      <c r="N3731">
        <v>4</v>
      </c>
      <c r="O3731">
        <v>0</v>
      </c>
      <c r="P3731">
        <v>20</v>
      </c>
      <c r="Q3731">
        <v>0</v>
      </c>
      <c r="R3731">
        <v>0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0</v>
      </c>
      <c r="Y3731">
        <v>0</v>
      </c>
      <c r="Z3731">
        <v>0</v>
      </c>
      <c r="AA3731">
        <v>0</v>
      </c>
      <c r="AC3731">
        <v>20</v>
      </c>
    </row>
    <row r="3732" spans="1:29">
      <c r="A3732">
        <v>3725</v>
      </c>
      <c r="B3732">
        <v>4415</v>
      </c>
      <c r="C3732" t="s">
        <v>7644</v>
      </c>
      <c r="D3732" t="s">
        <v>4258</v>
      </c>
      <c r="E3732" t="s">
        <v>156</v>
      </c>
      <c r="F3732" t="s">
        <v>7645</v>
      </c>
      <c r="G3732" t="str">
        <f>"201511023985"</f>
        <v>201511023985</v>
      </c>
      <c r="H3732">
        <v>16</v>
      </c>
      <c r="I3732">
        <v>0</v>
      </c>
      <c r="M3732">
        <v>0</v>
      </c>
      <c r="N3732">
        <v>4</v>
      </c>
      <c r="O3732">
        <v>0</v>
      </c>
      <c r="P3732">
        <v>20</v>
      </c>
      <c r="Q3732">
        <v>0</v>
      </c>
      <c r="R3732">
        <v>0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0</v>
      </c>
      <c r="Y3732">
        <v>0</v>
      </c>
      <c r="Z3732">
        <v>0</v>
      </c>
      <c r="AA3732">
        <v>0</v>
      </c>
      <c r="AC3732">
        <v>20</v>
      </c>
    </row>
    <row r="3733" spans="1:29">
      <c r="A3733">
        <v>3726</v>
      </c>
      <c r="B3733">
        <v>3301</v>
      </c>
      <c r="C3733" t="s">
        <v>7648</v>
      </c>
      <c r="D3733" t="s">
        <v>175</v>
      </c>
      <c r="E3733" t="s">
        <v>15</v>
      </c>
      <c r="F3733" t="s">
        <v>7649</v>
      </c>
      <c r="G3733" t="str">
        <f>"00346601"</f>
        <v>00346601</v>
      </c>
      <c r="H3733">
        <v>0</v>
      </c>
      <c r="I3733">
        <v>0</v>
      </c>
      <c r="L3733">
        <v>4</v>
      </c>
      <c r="M3733">
        <v>4</v>
      </c>
      <c r="N3733">
        <v>0</v>
      </c>
      <c r="O3733">
        <v>0</v>
      </c>
      <c r="P3733">
        <v>4</v>
      </c>
      <c r="Q3733">
        <v>16</v>
      </c>
      <c r="R3733">
        <v>16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  <c r="Y3733">
        <v>16</v>
      </c>
      <c r="Z3733">
        <v>0</v>
      </c>
      <c r="AA3733">
        <v>0</v>
      </c>
      <c r="AC3733">
        <v>20</v>
      </c>
    </row>
    <row r="3734" spans="1:29">
      <c r="A3734">
        <v>3727</v>
      </c>
      <c r="B3734">
        <v>3069</v>
      </c>
      <c r="C3734" t="s">
        <v>7650</v>
      </c>
      <c r="D3734" t="s">
        <v>52</v>
      </c>
      <c r="E3734" t="s">
        <v>15</v>
      </c>
      <c r="F3734" t="s">
        <v>7651</v>
      </c>
      <c r="G3734" t="str">
        <f>"00861634"</f>
        <v>00861634</v>
      </c>
      <c r="H3734">
        <v>13.84</v>
      </c>
      <c r="I3734">
        <v>0</v>
      </c>
      <c r="M3734">
        <v>0</v>
      </c>
      <c r="N3734">
        <v>0</v>
      </c>
      <c r="O3734">
        <v>0</v>
      </c>
      <c r="P3734">
        <v>13.84</v>
      </c>
      <c r="Q3734">
        <v>0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0</v>
      </c>
      <c r="Y3734">
        <v>0</v>
      </c>
      <c r="Z3734">
        <v>6</v>
      </c>
      <c r="AA3734">
        <v>0</v>
      </c>
      <c r="AC3734">
        <v>19.84</v>
      </c>
    </row>
    <row r="3735" spans="1:29">
      <c r="A3735">
        <v>3728</v>
      </c>
      <c r="B3735">
        <v>3930</v>
      </c>
      <c r="C3735" t="s">
        <v>7652</v>
      </c>
      <c r="D3735" t="s">
        <v>24</v>
      </c>
      <c r="E3735" t="s">
        <v>66</v>
      </c>
      <c r="F3735" t="s">
        <v>7653</v>
      </c>
      <c r="G3735" t="str">
        <f>"00858811"</f>
        <v>00858811</v>
      </c>
      <c r="H3735">
        <v>16.8</v>
      </c>
      <c r="I3735">
        <v>0</v>
      </c>
      <c r="M3735">
        <v>0</v>
      </c>
      <c r="N3735">
        <v>0</v>
      </c>
      <c r="O3735">
        <v>0</v>
      </c>
      <c r="P3735">
        <v>16.8</v>
      </c>
      <c r="Q3735">
        <v>0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0</v>
      </c>
      <c r="Y3735">
        <v>0</v>
      </c>
      <c r="Z3735">
        <v>3</v>
      </c>
      <c r="AA3735">
        <v>0</v>
      </c>
      <c r="AC3735">
        <v>19.8</v>
      </c>
    </row>
    <row r="3736" spans="1:29">
      <c r="A3736">
        <v>3729</v>
      </c>
      <c r="B3736">
        <v>4800</v>
      </c>
      <c r="C3736" t="s">
        <v>5704</v>
      </c>
      <c r="D3736" t="s">
        <v>27</v>
      </c>
      <c r="E3736" t="s">
        <v>36</v>
      </c>
      <c r="F3736" t="s">
        <v>7654</v>
      </c>
      <c r="G3736" t="str">
        <f>"00866225"</f>
        <v>00866225</v>
      </c>
      <c r="H3736">
        <v>16.72</v>
      </c>
      <c r="I3736">
        <v>0</v>
      </c>
      <c r="M3736">
        <v>0</v>
      </c>
      <c r="N3736">
        <v>0</v>
      </c>
      <c r="O3736">
        <v>0</v>
      </c>
      <c r="P3736">
        <v>16.72</v>
      </c>
      <c r="Q3736">
        <v>0</v>
      </c>
      <c r="R3736">
        <v>0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0</v>
      </c>
      <c r="Y3736">
        <v>0</v>
      </c>
      <c r="Z3736">
        <v>3</v>
      </c>
      <c r="AA3736">
        <v>0</v>
      </c>
      <c r="AC3736">
        <v>19.72</v>
      </c>
    </row>
    <row r="3737" spans="1:29">
      <c r="A3737">
        <v>3730</v>
      </c>
      <c r="B3737">
        <v>4853</v>
      </c>
      <c r="C3737" t="s">
        <v>7655</v>
      </c>
      <c r="D3737" t="s">
        <v>343</v>
      </c>
      <c r="E3737" t="s">
        <v>3522</v>
      </c>
      <c r="F3737" t="s">
        <v>7656</v>
      </c>
      <c r="G3737" t="str">
        <f>"00209218"</f>
        <v>00209218</v>
      </c>
      <c r="H3737">
        <v>19.72</v>
      </c>
      <c r="I3737">
        <v>0</v>
      </c>
      <c r="M3737">
        <v>0</v>
      </c>
      <c r="N3737">
        <v>0</v>
      </c>
      <c r="O3737">
        <v>0</v>
      </c>
      <c r="P3737">
        <v>19.72</v>
      </c>
      <c r="Q3737">
        <v>0</v>
      </c>
      <c r="R3737">
        <v>0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0</v>
      </c>
      <c r="Y3737">
        <v>0</v>
      </c>
      <c r="Z3737">
        <v>0</v>
      </c>
      <c r="AA3737">
        <v>0</v>
      </c>
      <c r="AC3737">
        <v>19.72</v>
      </c>
    </row>
    <row r="3738" spans="1:29">
      <c r="A3738">
        <v>3731</v>
      </c>
      <c r="B3738">
        <v>1310</v>
      </c>
      <c r="C3738" t="s">
        <v>7657</v>
      </c>
      <c r="D3738" t="s">
        <v>853</v>
      </c>
      <c r="E3738" t="s">
        <v>36</v>
      </c>
      <c r="F3738" t="s">
        <v>7658</v>
      </c>
      <c r="G3738" t="str">
        <f>"201604005375"</f>
        <v>201604005375</v>
      </c>
      <c r="H3738">
        <v>7.6</v>
      </c>
      <c r="I3738">
        <v>0</v>
      </c>
      <c r="M3738">
        <v>0</v>
      </c>
      <c r="N3738">
        <v>4</v>
      </c>
      <c r="O3738">
        <v>2</v>
      </c>
      <c r="P3738">
        <v>13.6</v>
      </c>
      <c r="Q3738">
        <v>0</v>
      </c>
      <c r="R3738">
        <v>0</v>
      </c>
      <c r="S3738">
        <v>0</v>
      </c>
      <c r="T3738">
        <v>0</v>
      </c>
      <c r="U3738">
        <v>0</v>
      </c>
      <c r="V3738">
        <v>0</v>
      </c>
      <c r="W3738">
        <v>0</v>
      </c>
      <c r="X3738">
        <v>0</v>
      </c>
      <c r="Y3738">
        <v>0</v>
      </c>
      <c r="Z3738">
        <v>6</v>
      </c>
      <c r="AA3738">
        <v>0</v>
      </c>
      <c r="AC3738">
        <v>19.600000000000001</v>
      </c>
    </row>
    <row r="3739" spans="1:29">
      <c r="A3739">
        <v>3732</v>
      </c>
      <c r="B3739">
        <v>561</v>
      </c>
      <c r="C3739" t="s">
        <v>204</v>
      </c>
      <c r="D3739" t="s">
        <v>7659</v>
      </c>
      <c r="E3739" t="s">
        <v>436</v>
      </c>
      <c r="F3739" t="s">
        <v>7660</v>
      </c>
      <c r="G3739" t="str">
        <f>"00560229"</f>
        <v>00560229</v>
      </c>
      <c r="H3739">
        <v>15.6</v>
      </c>
      <c r="I3739">
        <v>0</v>
      </c>
      <c r="M3739">
        <v>0</v>
      </c>
      <c r="N3739">
        <v>4</v>
      </c>
      <c r="O3739">
        <v>0</v>
      </c>
      <c r="P3739">
        <v>19.600000000000001</v>
      </c>
      <c r="Q3739">
        <v>0</v>
      </c>
      <c r="R3739">
        <v>0</v>
      </c>
      <c r="S3739">
        <v>0</v>
      </c>
      <c r="T3739">
        <v>0</v>
      </c>
      <c r="U3739">
        <v>0</v>
      </c>
      <c r="V3739">
        <v>0</v>
      </c>
      <c r="W3739">
        <v>0</v>
      </c>
      <c r="X3739">
        <v>0</v>
      </c>
      <c r="Y3739">
        <v>0</v>
      </c>
      <c r="Z3739">
        <v>0</v>
      </c>
      <c r="AA3739">
        <v>0</v>
      </c>
      <c r="AC3739">
        <v>19.600000000000001</v>
      </c>
    </row>
    <row r="3740" spans="1:29">
      <c r="A3740">
        <v>3733</v>
      </c>
      <c r="B3740">
        <v>3601</v>
      </c>
      <c r="C3740" t="s">
        <v>4439</v>
      </c>
      <c r="D3740" t="s">
        <v>20</v>
      </c>
      <c r="E3740" t="s">
        <v>15</v>
      </c>
      <c r="F3740" t="s">
        <v>7661</v>
      </c>
      <c r="G3740" t="str">
        <f>"00044832"</f>
        <v>00044832</v>
      </c>
      <c r="H3740">
        <v>13.52</v>
      </c>
      <c r="I3740">
        <v>0</v>
      </c>
      <c r="M3740">
        <v>0</v>
      </c>
      <c r="N3740">
        <v>0</v>
      </c>
      <c r="O3740">
        <v>0</v>
      </c>
      <c r="P3740">
        <v>13.52</v>
      </c>
      <c r="Q3740">
        <v>0</v>
      </c>
      <c r="R3740">
        <v>0</v>
      </c>
      <c r="S3740">
        <v>0</v>
      </c>
      <c r="T3740">
        <v>0</v>
      </c>
      <c r="U3740">
        <v>0</v>
      </c>
      <c r="V3740">
        <v>0</v>
      </c>
      <c r="W3740">
        <v>0</v>
      </c>
      <c r="X3740">
        <v>0</v>
      </c>
      <c r="Y3740">
        <v>0</v>
      </c>
      <c r="Z3740">
        <v>6</v>
      </c>
      <c r="AA3740">
        <v>0</v>
      </c>
      <c r="AC3740">
        <v>19.52</v>
      </c>
    </row>
    <row r="3741" spans="1:29">
      <c r="A3741">
        <v>3734</v>
      </c>
      <c r="B3741">
        <v>2474</v>
      </c>
      <c r="C3741" t="s">
        <v>7662</v>
      </c>
      <c r="D3741" t="s">
        <v>735</v>
      </c>
      <c r="E3741" t="s">
        <v>436</v>
      </c>
      <c r="F3741" t="s">
        <v>7663</v>
      </c>
      <c r="G3741" t="str">
        <f>"00863913"</f>
        <v>00863913</v>
      </c>
      <c r="H3741">
        <v>13.44</v>
      </c>
      <c r="I3741">
        <v>0</v>
      </c>
      <c r="M3741">
        <v>0</v>
      </c>
      <c r="N3741">
        <v>0</v>
      </c>
      <c r="O3741">
        <v>0</v>
      </c>
      <c r="P3741">
        <v>13.44</v>
      </c>
      <c r="Q3741">
        <v>0</v>
      </c>
      <c r="R3741">
        <v>0</v>
      </c>
      <c r="S3741">
        <v>0</v>
      </c>
      <c r="T3741">
        <v>0</v>
      </c>
      <c r="U3741">
        <v>0</v>
      </c>
      <c r="V3741">
        <v>0</v>
      </c>
      <c r="W3741">
        <v>0</v>
      </c>
      <c r="X3741">
        <v>0</v>
      </c>
      <c r="Y3741">
        <v>0</v>
      </c>
      <c r="Z3741">
        <v>6</v>
      </c>
      <c r="AA3741">
        <v>0</v>
      </c>
      <c r="AC3741">
        <v>19.440000000000001</v>
      </c>
    </row>
    <row r="3742" spans="1:29">
      <c r="A3742">
        <v>3735</v>
      </c>
      <c r="B3742">
        <v>4875</v>
      </c>
      <c r="C3742" t="s">
        <v>3780</v>
      </c>
      <c r="D3742" t="s">
        <v>27</v>
      </c>
      <c r="E3742" t="s">
        <v>533</v>
      </c>
      <c r="F3742" t="s">
        <v>7664</v>
      </c>
      <c r="G3742" t="str">
        <f>"00866862"</f>
        <v>00866862</v>
      </c>
      <c r="H3742">
        <v>7.2</v>
      </c>
      <c r="I3742">
        <v>0</v>
      </c>
      <c r="M3742">
        <v>0</v>
      </c>
      <c r="N3742">
        <v>4</v>
      </c>
      <c r="O3742">
        <v>2</v>
      </c>
      <c r="P3742">
        <v>13.2</v>
      </c>
      <c r="Q3742">
        <v>0</v>
      </c>
      <c r="R3742">
        <v>0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  <c r="Y3742">
        <v>0</v>
      </c>
      <c r="Z3742">
        <v>6</v>
      </c>
      <c r="AA3742">
        <v>0</v>
      </c>
      <c r="AC3742">
        <v>19.2</v>
      </c>
    </row>
    <row r="3743" spans="1:29">
      <c r="A3743">
        <v>3736</v>
      </c>
      <c r="B3743">
        <v>4545</v>
      </c>
      <c r="C3743" t="s">
        <v>779</v>
      </c>
      <c r="D3743" t="s">
        <v>853</v>
      </c>
      <c r="E3743" t="s">
        <v>36</v>
      </c>
      <c r="F3743" t="s">
        <v>7665</v>
      </c>
      <c r="G3743" t="str">
        <f>"00659271"</f>
        <v>00659271</v>
      </c>
      <c r="H3743">
        <v>15.2</v>
      </c>
      <c r="I3743">
        <v>0</v>
      </c>
      <c r="M3743">
        <v>0</v>
      </c>
      <c r="N3743">
        <v>4</v>
      </c>
      <c r="O3743">
        <v>0</v>
      </c>
      <c r="P3743">
        <v>19.2</v>
      </c>
      <c r="Q3743">
        <v>0</v>
      </c>
      <c r="R3743">
        <v>0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0</v>
      </c>
      <c r="Y3743">
        <v>0</v>
      </c>
      <c r="Z3743">
        <v>0</v>
      </c>
      <c r="AA3743">
        <v>0</v>
      </c>
      <c r="AC3743">
        <v>19.2</v>
      </c>
    </row>
    <row r="3744" spans="1:29">
      <c r="A3744">
        <v>3737</v>
      </c>
      <c r="B3744">
        <v>2692</v>
      </c>
      <c r="C3744" t="s">
        <v>4560</v>
      </c>
      <c r="D3744" t="s">
        <v>95</v>
      </c>
      <c r="E3744" t="s">
        <v>115</v>
      </c>
      <c r="F3744" t="s">
        <v>7666</v>
      </c>
      <c r="G3744" t="str">
        <f>"00244393"</f>
        <v>00244393</v>
      </c>
      <c r="H3744">
        <v>15.2</v>
      </c>
      <c r="I3744">
        <v>0</v>
      </c>
      <c r="M3744">
        <v>0</v>
      </c>
      <c r="N3744">
        <v>4</v>
      </c>
      <c r="O3744">
        <v>0</v>
      </c>
      <c r="P3744">
        <v>19.2</v>
      </c>
      <c r="Q3744">
        <v>0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0</v>
      </c>
      <c r="Y3744">
        <v>0</v>
      </c>
      <c r="Z3744">
        <v>0</v>
      </c>
      <c r="AA3744">
        <v>0</v>
      </c>
      <c r="AC3744">
        <v>19.2</v>
      </c>
    </row>
    <row r="3745" spans="1:29">
      <c r="A3745">
        <v>3738</v>
      </c>
      <c r="B3745">
        <v>3453</v>
      </c>
      <c r="C3745" t="s">
        <v>7669</v>
      </c>
      <c r="D3745" t="s">
        <v>86</v>
      </c>
      <c r="E3745" t="s">
        <v>21</v>
      </c>
      <c r="F3745" t="s">
        <v>7670</v>
      </c>
      <c r="G3745" t="str">
        <f>"00861883"</f>
        <v>00861883</v>
      </c>
      <c r="H3745">
        <v>7.2</v>
      </c>
      <c r="I3745">
        <v>0</v>
      </c>
      <c r="K3745">
        <v>6</v>
      </c>
      <c r="M3745">
        <v>6</v>
      </c>
      <c r="N3745">
        <v>4</v>
      </c>
      <c r="O3745">
        <v>2</v>
      </c>
      <c r="P3745">
        <v>19.2</v>
      </c>
      <c r="Q3745">
        <v>0</v>
      </c>
      <c r="R3745">
        <v>0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0</v>
      </c>
      <c r="Y3745">
        <v>0</v>
      </c>
      <c r="Z3745">
        <v>0</v>
      </c>
      <c r="AA3745">
        <v>0</v>
      </c>
      <c r="AC3745">
        <v>19.2</v>
      </c>
    </row>
    <row r="3746" spans="1:29">
      <c r="A3746">
        <v>3739</v>
      </c>
      <c r="B3746">
        <v>3020</v>
      </c>
      <c r="C3746" t="s">
        <v>7671</v>
      </c>
      <c r="D3746" t="s">
        <v>433</v>
      </c>
      <c r="E3746" t="s">
        <v>36</v>
      </c>
      <c r="F3746" t="s">
        <v>7672</v>
      </c>
      <c r="G3746" t="str">
        <f>"00863307"</f>
        <v>00863307</v>
      </c>
      <c r="H3746">
        <v>7.2</v>
      </c>
      <c r="I3746">
        <v>0</v>
      </c>
      <c r="J3746">
        <v>8</v>
      </c>
      <c r="M3746">
        <v>8</v>
      </c>
      <c r="N3746">
        <v>4</v>
      </c>
      <c r="O3746">
        <v>0</v>
      </c>
      <c r="P3746">
        <v>19.2</v>
      </c>
      <c r="Q3746">
        <v>0</v>
      </c>
      <c r="R3746">
        <v>0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0</v>
      </c>
      <c r="Y3746">
        <v>0</v>
      </c>
      <c r="Z3746">
        <v>0</v>
      </c>
      <c r="AA3746">
        <v>0</v>
      </c>
      <c r="AC3746">
        <v>19.2</v>
      </c>
    </row>
    <row r="3747" spans="1:29">
      <c r="A3747">
        <v>3740</v>
      </c>
      <c r="B3747">
        <v>4207</v>
      </c>
      <c r="C3747" t="s">
        <v>7667</v>
      </c>
      <c r="D3747" t="s">
        <v>39</v>
      </c>
      <c r="E3747" t="s">
        <v>36</v>
      </c>
      <c r="F3747" t="s">
        <v>7668</v>
      </c>
      <c r="G3747" t="str">
        <f>"00864999"</f>
        <v>00864999</v>
      </c>
      <c r="H3747">
        <v>7.2</v>
      </c>
      <c r="I3747">
        <v>0</v>
      </c>
      <c r="K3747">
        <v>6</v>
      </c>
      <c r="M3747">
        <v>6</v>
      </c>
      <c r="N3747">
        <v>4</v>
      </c>
      <c r="O3747">
        <v>2</v>
      </c>
      <c r="P3747">
        <v>19.2</v>
      </c>
      <c r="Q3747">
        <v>0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  <c r="Y3747">
        <v>0</v>
      </c>
      <c r="Z3747">
        <v>0</v>
      </c>
      <c r="AA3747">
        <v>0</v>
      </c>
      <c r="AC3747">
        <v>19.2</v>
      </c>
    </row>
    <row r="3748" spans="1:29">
      <c r="A3748">
        <v>3741</v>
      </c>
      <c r="B3748">
        <v>4609</v>
      </c>
      <c r="C3748" t="s">
        <v>3738</v>
      </c>
      <c r="D3748" t="s">
        <v>108</v>
      </c>
      <c r="E3748" t="s">
        <v>15</v>
      </c>
      <c r="F3748" t="s">
        <v>7673</v>
      </c>
      <c r="G3748" t="str">
        <f>"00442391"</f>
        <v>00442391</v>
      </c>
      <c r="H3748">
        <v>7.2</v>
      </c>
      <c r="I3748">
        <v>0</v>
      </c>
      <c r="M3748">
        <v>0</v>
      </c>
      <c r="N3748">
        <v>0</v>
      </c>
      <c r="O3748">
        <v>2</v>
      </c>
      <c r="P3748">
        <v>9.1999999999999993</v>
      </c>
      <c r="Q3748">
        <v>10</v>
      </c>
      <c r="R3748">
        <v>10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0</v>
      </c>
      <c r="Y3748">
        <v>10</v>
      </c>
      <c r="Z3748">
        <v>0</v>
      </c>
      <c r="AA3748">
        <v>0</v>
      </c>
      <c r="AC3748">
        <v>19.2</v>
      </c>
    </row>
    <row r="3749" spans="1:29">
      <c r="A3749">
        <v>3742</v>
      </c>
      <c r="B3749">
        <v>4938</v>
      </c>
      <c r="C3749" t="s">
        <v>7674</v>
      </c>
      <c r="D3749" t="s">
        <v>27</v>
      </c>
      <c r="E3749" t="s">
        <v>237</v>
      </c>
      <c r="F3749" t="s">
        <v>7675</v>
      </c>
      <c r="G3749" t="str">
        <f>"00555968"</f>
        <v>00555968</v>
      </c>
      <c r="H3749">
        <v>11.16</v>
      </c>
      <c r="I3749">
        <v>0</v>
      </c>
      <c r="M3749">
        <v>0</v>
      </c>
      <c r="N3749">
        <v>0</v>
      </c>
      <c r="O3749">
        <v>2</v>
      </c>
      <c r="P3749">
        <v>13.16</v>
      </c>
      <c r="Q3749">
        <v>0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  <c r="Y3749">
        <v>0</v>
      </c>
      <c r="Z3749">
        <v>6</v>
      </c>
      <c r="AA3749">
        <v>0</v>
      </c>
      <c r="AC3749">
        <v>19.16</v>
      </c>
    </row>
    <row r="3750" spans="1:29">
      <c r="A3750">
        <v>3743</v>
      </c>
      <c r="B3750">
        <v>3413</v>
      </c>
      <c r="C3750" t="s">
        <v>7676</v>
      </c>
      <c r="D3750" t="s">
        <v>2545</v>
      </c>
      <c r="E3750" t="s">
        <v>15</v>
      </c>
      <c r="F3750" t="s">
        <v>7677</v>
      </c>
      <c r="G3750" t="str">
        <f>"00637317"</f>
        <v>00637317</v>
      </c>
      <c r="H3750">
        <v>0</v>
      </c>
      <c r="I3750">
        <v>0</v>
      </c>
      <c r="L3750">
        <v>4</v>
      </c>
      <c r="M3750">
        <v>4</v>
      </c>
      <c r="N3750">
        <v>4</v>
      </c>
      <c r="O3750">
        <v>2</v>
      </c>
      <c r="P3750">
        <v>10</v>
      </c>
      <c r="Q3750">
        <v>0</v>
      </c>
      <c r="R3750">
        <v>0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0</v>
      </c>
      <c r="Y3750">
        <v>0</v>
      </c>
      <c r="Z3750">
        <v>9</v>
      </c>
      <c r="AA3750">
        <v>0</v>
      </c>
      <c r="AC3750">
        <v>19</v>
      </c>
    </row>
    <row r="3751" spans="1:29">
      <c r="A3751">
        <v>3744</v>
      </c>
      <c r="B3751">
        <v>2096</v>
      </c>
      <c r="C3751" t="s">
        <v>7678</v>
      </c>
      <c r="D3751" t="s">
        <v>7679</v>
      </c>
      <c r="E3751" t="s">
        <v>36</v>
      </c>
      <c r="F3751" t="s">
        <v>7680</v>
      </c>
      <c r="G3751" t="str">
        <f>"00864410"</f>
        <v>00864410</v>
      </c>
      <c r="H3751">
        <v>12</v>
      </c>
      <c r="I3751">
        <v>0</v>
      </c>
      <c r="M3751">
        <v>0</v>
      </c>
      <c r="N3751">
        <v>4</v>
      </c>
      <c r="O3751">
        <v>0</v>
      </c>
      <c r="P3751">
        <v>16</v>
      </c>
      <c r="Q3751">
        <v>0</v>
      </c>
      <c r="R3751">
        <v>0</v>
      </c>
      <c r="S3751">
        <v>0</v>
      </c>
      <c r="T3751">
        <v>0</v>
      </c>
      <c r="U3751">
        <v>0</v>
      </c>
      <c r="V3751">
        <v>0</v>
      </c>
      <c r="W3751">
        <v>0</v>
      </c>
      <c r="X3751">
        <v>0</v>
      </c>
      <c r="Y3751">
        <v>0</v>
      </c>
      <c r="Z3751">
        <v>3</v>
      </c>
      <c r="AA3751">
        <v>0</v>
      </c>
      <c r="AC3751">
        <v>19</v>
      </c>
    </row>
    <row r="3752" spans="1:29">
      <c r="A3752">
        <v>3745</v>
      </c>
      <c r="B3752">
        <v>3334</v>
      </c>
      <c r="C3752" t="s">
        <v>58</v>
      </c>
      <c r="D3752" t="s">
        <v>137</v>
      </c>
      <c r="E3752" t="s">
        <v>53</v>
      </c>
      <c r="F3752" t="s">
        <v>7681</v>
      </c>
      <c r="G3752" t="str">
        <f>"00536262"</f>
        <v>00536262</v>
      </c>
      <c r="H3752">
        <v>12</v>
      </c>
      <c r="I3752">
        <v>0</v>
      </c>
      <c r="M3752">
        <v>0</v>
      </c>
      <c r="N3752">
        <v>4</v>
      </c>
      <c r="O3752">
        <v>0</v>
      </c>
      <c r="P3752">
        <v>16</v>
      </c>
      <c r="Q3752">
        <v>0</v>
      </c>
      <c r="R3752">
        <v>0</v>
      </c>
      <c r="S3752">
        <v>0</v>
      </c>
      <c r="T3752">
        <v>0</v>
      </c>
      <c r="U3752">
        <v>0</v>
      </c>
      <c r="V3752">
        <v>0</v>
      </c>
      <c r="W3752">
        <v>0</v>
      </c>
      <c r="X3752">
        <v>0</v>
      </c>
      <c r="Y3752">
        <v>0</v>
      </c>
      <c r="Z3752">
        <v>3</v>
      </c>
      <c r="AA3752">
        <v>0</v>
      </c>
      <c r="AC3752">
        <v>19</v>
      </c>
    </row>
    <row r="3753" spans="1:29">
      <c r="A3753">
        <v>3746</v>
      </c>
      <c r="B3753">
        <v>2083</v>
      </c>
      <c r="C3753" t="s">
        <v>7682</v>
      </c>
      <c r="D3753" t="s">
        <v>27</v>
      </c>
      <c r="E3753" t="s">
        <v>66</v>
      </c>
      <c r="F3753" t="s">
        <v>7683</v>
      </c>
      <c r="G3753" t="str">
        <f>"00782085"</f>
        <v>00782085</v>
      </c>
      <c r="H3753">
        <v>0</v>
      </c>
      <c r="I3753">
        <v>10</v>
      </c>
      <c r="M3753">
        <v>0</v>
      </c>
      <c r="N3753">
        <v>4</v>
      </c>
      <c r="O3753">
        <v>2</v>
      </c>
      <c r="P3753">
        <v>16</v>
      </c>
      <c r="Q3753">
        <v>0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  <c r="Y3753">
        <v>0</v>
      </c>
      <c r="Z3753">
        <v>3</v>
      </c>
      <c r="AA3753">
        <v>0</v>
      </c>
      <c r="AC3753">
        <v>19</v>
      </c>
    </row>
    <row r="3754" spans="1:29">
      <c r="A3754">
        <v>3747</v>
      </c>
      <c r="B3754">
        <v>2762</v>
      </c>
      <c r="C3754" t="s">
        <v>6315</v>
      </c>
      <c r="D3754" t="s">
        <v>130</v>
      </c>
      <c r="E3754" t="s">
        <v>32</v>
      </c>
      <c r="F3754" t="s">
        <v>7684</v>
      </c>
      <c r="G3754" t="str">
        <f>"00533517"</f>
        <v>00533517</v>
      </c>
      <c r="H3754">
        <v>0</v>
      </c>
      <c r="I3754">
        <v>0</v>
      </c>
      <c r="L3754">
        <v>4</v>
      </c>
      <c r="M3754">
        <v>4</v>
      </c>
      <c r="N3754">
        <v>4</v>
      </c>
      <c r="O3754">
        <v>2</v>
      </c>
      <c r="P3754">
        <v>10</v>
      </c>
      <c r="Q3754">
        <v>6</v>
      </c>
      <c r="R3754">
        <v>6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  <c r="Y3754">
        <v>6</v>
      </c>
      <c r="Z3754">
        <v>3</v>
      </c>
      <c r="AA3754">
        <v>0</v>
      </c>
      <c r="AC3754">
        <v>19</v>
      </c>
    </row>
    <row r="3755" spans="1:29">
      <c r="A3755">
        <v>3748</v>
      </c>
      <c r="B3755">
        <v>4223</v>
      </c>
      <c r="C3755" t="s">
        <v>7685</v>
      </c>
      <c r="D3755" t="s">
        <v>27</v>
      </c>
      <c r="E3755" t="s">
        <v>15</v>
      </c>
      <c r="F3755" t="s">
        <v>7686</v>
      </c>
      <c r="G3755" t="str">
        <f>"00562742"</f>
        <v>00562742</v>
      </c>
      <c r="H3755">
        <v>12.92</v>
      </c>
      <c r="I3755">
        <v>0</v>
      </c>
      <c r="M3755">
        <v>0</v>
      </c>
      <c r="N3755">
        <v>0</v>
      </c>
      <c r="O3755">
        <v>0</v>
      </c>
      <c r="P3755">
        <v>12.92</v>
      </c>
      <c r="Q3755">
        <v>0</v>
      </c>
      <c r="R3755">
        <v>0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0</v>
      </c>
      <c r="Y3755">
        <v>0</v>
      </c>
      <c r="Z3755">
        <v>6</v>
      </c>
      <c r="AA3755">
        <v>0</v>
      </c>
      <c r="AC3755">
        <v>18.920000000000002</v>
      </c>
    </row>
    <row r="3756" spans="1:29">
      <c r="A3756">
        <v>3749</v>
      </c>
      <c r="B3756">
        <v>4549</v>
      </c>
      <c r="C3756" t="s">
        <v>3738</v>
      </c>
      <c r="D3756" t="s">
        <v>210</v>
      </c>
      <c r="E3756" t="s">
        <v>337</v>
      </c>
      <c r="F3756" t="s">
        <v>7687</v>
      </c>
      <c r="G3756" t="str">
        <f>"00863993"</f>
        <v>00863993</v>
      </c>
      <c r="H3756">
        <v>18.920000000000002</v>
      </c>
      <c r="I3756">
        <v>0</v>
      </c>
      <c r="M3756">
        <v>0</v>
      </c>
      <c r="N3756">
        <v>0</v>
      </c>
      <c r="O3756">
        <v>0</v>
      </c>
      <c r="P3756">
        <v>18.920000000000002</v>
      </c>
      <c r="Q3756">
        <v>0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0</v>
      </c>
      <c r="Y3756">
        <v>0</v>
      </c>
      <c r="Z3756">
        <v>0</v>
      </c>
      <c r="AA3756">
        <v>0</v>
      </c>
      <c r="AC3756">
        <v>18.920000000000002</v>
      </c>
    </row>
    <row r="3757" spans="1:29">
      <c r="A3757">
        <v>3750</v>
      </c>
      <c r="B3757">
        <v>4885</v>
      </c>
      <c r="C3757" t="s">
        <v>7688</v>
      </c>
      <c r="D3757" t="s">
        <v>164</v>
      </c>
      <c r="E3757" t="s">
        <v>77</v>
      </c>
      <c r="F3757" t="s">
        <v>7689</v>
      </c>
      <c r="G3757" t="str">
        <f>"00299856"</f>
        <v>00299856</v>
      </c>
      <c r="H3757">
        <v>18.68</v>
      </c>
      <c r="I3757">
        <v>0</v>
      </c>
      <c r="M3757">
        <v>0</v>
      </c>
      <c r="N3757">
        <v>0</v>
      </c>
      <c r="O3757">
        <v>0</v>
      </c>
      <c r="P3757">
        <v>18.68</v>
      </c>
      <c r="Q3757">
        <v>0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0</v>
      </c>
      <c r="Y3757">
        <v>0</v>
      </c>
      <c r="Z3757">
        <v>0</v>
      </c>
      <c r="AA3757">
        <v>0</v>
      </c>
      <c r="AC3757">
        <v>18.68</v>
      </c>
    </row>
    <row r="3758" spans="1:29">
      <c r="A3758">
        <v>3751</v>
      </c>
      <c r="B3758">
        <v>3785</v>
      </c>
      <c r="C3758" t="s">
        <v>7690</v>
      </c>
      <c r="D3758" t="s">
        <v>1426</v>
      </c>
      <c r="E3758" t="s">
        <v>451</v>
      </c>
      <c r="F3758" t="s">
        <v>7691</v>
      </c>
      <c r="G3758" t="str">
        <f>"00531538"</f>
        <v>00531538</v>
      </c>
      <c r="H3758">
        <v>12.6</v>
      </c>
      <c r="I3758">
        <v>0</v>
      </c>
      <c r="M3758">
        <v>0</v>
      </c>
      <c r="N3758">
        <v>4</v>
      </c>
      <c r="O3758">
        <v>2</v>
      </c>
      <c r="P3758">
        <v>18.600000000000001</v>
      </c>
      <c r="Q3758">
        <v>0</v>
      </c>
      <c r="R3758">
        <v>0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0</v>
      </c>
      <c r="Y3758">
        <v>0</v>
      </c>
      <c r="Z3758">
        <v>0</v>
      </c>
      <c r="AA3758">
        <v>0</v>
      </c>
      <c r="AC3758">
        <v>18.600000000000001</v>
      </c>
    </row>
    <row r="3759" spans="1:29">
      <c r="A3759">
        <v>3752</v>
      </c>
      <c r="B3759">
        <v>2388</v>
      </c>
      <c r="C3759" t="s">
        <v>7692</v>
      </c>
      <c r="D3759" t="s">
        <v>31</v>
      </c>
      <c r="E3759" t="s">
        <v>32</v>
      </c>
      <c r="F3759" t="s">
        <v>7693</v>
      </c>
      <c r="G3759" t="str">
        <f>"00405610"</f>
        <v>00405610</v>
      </c>
      <c r="H3759">
        <v>9.44</v>
      </c>
      <c r="I3759">
        <v>0</v>
      </c>
      <c r="M3759">
        <v>0</v>
      </c>
      <c r="N3759">
        <v>0</v>
      </c>
      <c r="O3759">
        <v>0</v>
      </c>
      <c r="P3759">
        <v>9.44</v>
      </c>
      <c r="Q3759">
        <v>0</v>
      </c>
      <c r="R3759">
        <v>0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  <c r="Y3759">
        <v>0</v>
      </c>
      <c r="Z3759">
        <v>9</v>
      </c>
      <c r="AA3759">
        <v>0</v>
      </c>
      <c r="AC3759">
        <v>18.440000000000001</v>
      </c>
    </row>
    <row r="3760" spans="1:29">
      <c r="A3760">
        <v>3753</v>
      </c>
      <c r="B3760">
        <v>2995</v>
      </c>
      <c r="C3760" t="s">
        <v>7667</v>
      </c>
      <c r="D3760" t="s">
        <v>820</v>
      </c>
      <c r="E3760" t="s">
        <v>15</v>
      </c>
      <c r="F3760" t="s">
        <v>7694</v>
      </c>
      <c r="G3760" t="str">
        <f>"00361868"</f>
        <v>00361868</v>
      </c>
      <c r="H3760">
        <v>12.4</v>
      </c>
      <c r="I3760">
        <v>0</v>
      </c>
      <c r="M3760">
        <v>0</v>
      </c>
      <c r="N3760">
        <v>0</v>
      </c>
      <c r="O3760">
        <v>0</v>
      </c>
      <c r="P3760">
        <v>12.4</v>
      </c>
      <c r="Q3760">
        <v>0</v>
      </c>
      <c r="R3760">
        <v>0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0</v>
      </c>
      <c r="Y3760">
        <v>0</v>
      </c>
      <c r="Z3760">
        <v>6</v>
      </c>
      <c r="AA3760">
        <v>0</v>
      </c>
      <c r="AC3760">
        <v>18.399999999999999</v>
      </c>
    </row>
    <row r="3761" spans="1:29">
      <c r="A3761">
        <v>3754</v>
      </c>
      <c r="B3761">
        <v>2389</v>
      </c>
      <c r="C3761" t="s">
        <v>779</v>
      </c>
      <c r="D3761" t="s">
        <v>170</v>
      </c>
      <c r="E3761" t="s">
        <v>79</v>
      </c>
      <c r="F3761" t="s">
        <v>7697</v>
      </c>
      <c r="G3761" t="str">
        <f>"00780685"</f>
        <v>00780685</v>
      </c>
      <c r="H3761">
        <v>18.399999999999999</v>
      </c>
      <c r="I3761">
        <v>0</v>
      </c>
      <c r="M3761">
        <v>0</v>
      </c>
      <c r="N3761">
        <v>0</v>
      </c>
      <c r="O3761">
        <v>0</v>
      </c>
      <c r="P3761">
        <v>18.399999999999999</v>
      </c>
      <c r="Q3761">
        <v>0</v>
      </c>
      <c r="R3761">
        <v>0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0</v>
      </c>
      <c r="Y3761">
        <v>0</v>
      </c>
      <c r="Z3761">
        <v>0</v>
      </c>
      <c r="AA3761">
        <v>0</v>
      </c>
      <c r="AC3761">
        <v>18.399999999999999</v>
      </c>
    </row>
    <row r="3762" spans="1:29">
      <c r="A3762">
        <v>3755</v>
      </c>
      <c r="B3762">
        <v>1511</v>
      </c>
      <c r="C3762" t="s">
        <v>7695</v>
      </c>
      <c r="D3762" t="s">
        <v>39</v>
      </c>
      <c r="E3762" t="s">
        <v>122</v>
      </c>
      <c r="F3762" t="s">
        <v>7696</v>
      </c>
      <c r="G3762" t="str">
        <f>"00532087"</f>
        <v>00532087</v>
      </c>
      <c r="H3762">
        <v>18.399999999999999</v>
      </c>
      <c r="I3762">
        <v>0</v>
      </c>
      <c r="M3762">
        <v>0</v>
      </c>
      <c r="N3762">
        <v>0</v>
      </c>
      <c r="O3762">
        <v>0</v>
      </c>
      <c r="P3762">
        <v>18.399999999999999</v>
      </c>
      <c r="Q3762">
        <v>0</v>
      </c>
      <c r="R3762">
        <v>0</v>
      </c>
      <c r="S3762">
        <v>0</v>
      </c>
      <c r="T3762">
        <v>0</v>
      </c>
      <c r="U3762">
        <v>0</v>
      </c>
      <c r="V3762">
        <v>0</v>
      </c>
      <c r="W3762">
        <v>0</v>
      </c>
      <c r="X3762">
        <v>0</v>
      </c>
      <c r="Y3762">
        <v>0</v>
      </c>
      <c r="Z3762">
        <v>0</v>
      </c>
      <c r="AA3762">
        <v>0</v>
      </c>
      <c r="AC3762">
        <v>18.399999999999999</v>
      </c>
    </row>
    <row r="3763" spans="1:29">
      <c r="A3763">
        <v>3756</v>
      </c>
      <c r="B3763">
        <v>4430</v>
      </c>
      <c r="C3763" t="s">
        <v>7716</v>
      </c>
      <c r="D3763" t="s">
        <v>7717</v>
      </c>
      <c r="E3763" t="s">
        <v>115</v>
      </c>
      <c r="F3763" t="s">
        <v>7718</v>
      </c>
      <c r="G3763" t="str">
        <f>"00863267"</f>
        <v>00863267</v>
      </c>
      <c r="H3763">
        <v>14.4</v>
      </c>
      <c r="I3763">
        <v>0</v>
      </c>
      <c r="M3763">
        <v>0</v>
      </c>
      <c r="N3763">
        <v>4</v>
      </c>
      <c r="O3763">
        <v>0</v>
      </c>
      <c r="P3763">
        <v>18.399999999999999</v>
      </c>
      <c r="Q3763">
        <v>0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0</v>
      </c>
      <c r="Y3763">
        <v>0</v>
      </c>
      <c r="Z3763">
        <v>0</v>
      </c>
      <c r="AA3763">
        <v>0</v>
      </c>
      <c r="AC3763">
        <v>18.399999999999999</v>
      </c>
    </row>
    <row r="3764" spans="1:29">
      <c r="A3764">
        <v>3757</v>
      </c>
      <c r="B3764">
        <v>2007</v>
      </c>
      <c r="C3764" t="s">
        <v>525</v>
      </c>
      <c r="D3764" t="s">
        <v>27</v>
      </c>
      <c r="E3764" t="s">
        <v>156</v>
      </c>
      <c r="F3764" t="s">
        <v>7724</v>
      </c>
      <c r="G3764" t="str">
        <f>"00638864"</f>
        <v>00638864</v>
      </c>
      <c r="H3764">
        <v>14.4</v>
      </c>
      <c r="I3764">
        <v>0</v>
      </c>
      <c r="M3764">
        <v>0</v>
      </c>
      <c r="N3764">
        <v>4</v>
      </c>
      <c r="O3764">
        <v>0</v>
      </c>
      <c r="P3764">
        <v>18.399999999999999</v>
      </c>
      <c r="Q3764">
        <v>0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0</v>
      </c>
      <c r="Y3764">
        <v>0</v>
      </c>
      <c r="Z3764">
        <v>0</v>
      </c>
      <c r="AA3764">
        <v>0</v>
      </c>
      <c r="AC3764">
        <v>18.399999999999999</v>
      </c>
    </row>
    <row r="3765" spans="1:29">
      <c r="A3765">
        <v>3758</v>
      </c>
      <c r="B3765">
        <v>475</v>
      </c>
      <c r="C3765" t="s">
        <v>7727</v>
      </c>
      <c r="D3765" t="s">
        <v>733</v>
      </c>
      <c r="E3765" t="s">
        <v>581</v>
      </c>
      <c r="F3765" t="s">
        <v>7728</v>
      </c>
      <c r="G3765" t="str">
        <f>"00531377"</f>
        <v>00531377</v>
      </c>
      <c r="H3765">
        <v>14.4</v>
      </c>
      <c r="I3765">
        <v>0</v>
      </c>
      <c r="M3765">
        <v>0</v>
      </c>
      <c r="N3765">
        <v>4</v>
      </c>
      <c r="O3765">
        <v>0</v>
      </c>
      <c r="P3765">
        <v>18.399999999999999</v>
      </c>
      <c r="Q3765">
        <v>0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0</v>
      </c>
      <c r="Y3765">
        <v>0</v>
      </c>
      <c r="Z3765">
        <v>0</v>
      </c>
      <c r="AA3765">
        <v>0</v>
      </c>
      <c r="AC3765">
        <v>18.399999999999999</v>
      </c>
    </row>
    <row r="3766" spans="1:29">
      <c r="A3766">
        <v>3759</v>
      </c>
      <c r="B3766">
        <v>1416</v>
      </c>
      <c r="C3766" t="s">
        <v>260</v>
      </c>
      <c r="D3766" t="s">
        <v>27</v>
      </c>
      <c r="E3766" t="s">
        <v>28</v>
      </c>
      <c r="F3766" t="s">
        <v>7700</v>
      </c>
      <c r="G3766" t="str">
        <f>"00809716"</f>
        <v>00809716</v>
      </c>
      <c r="H3766">
        <v>14.4</v>
      </c>
      <c r="I3766">
        <v>0</v>
      </c>
      <c r="M3766">
        <v>0</v>
      </c>
      <c r="N3766">
        <v>4</v>
      </c>
      <c r="O3766">
        <v>0</v>
      </c>
      <c r="P3766">
        <v>18.399999999999999</v>
      </c>
      <c r="Q3766">
        <v>0</v>
      </c>
      <c r="R3766">
        <v>0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0</v>
      </c>
      <c r="Y3766">
        <v>0</v>
      </c>
      <c r="Z3766">
        <v>0</v>
      </c>
      <c r="AA3766">
        <v>0</v>
      </c>
      <c r="AC3766">
        <v>18.399999999999999</v>
      </c>
    </row>
    <row r="3767" spans="1:29">
      <c r="A3767">
        <v>3760</v>
      </c>
      <c r="B3767">
        <v>862</v>
      </c>
      <c r="C3767" t="s">
        <v>7729</v>
      </c>
      <c r="D3767" t="s">
        <v>694</v>
      </c>
      <c r="E3767" t="s">
        <v>369</v>
      </c>
      <c r="F3767" t="s">
        <v>7730</v>
      </c>
      <c r="G3767" t="str">
        <f>"00528778"</f>
        <v>00528778</v>
      </c>
      <c r="H3767">
        <v>14.4</v>
      </c>
      <c r="I3767">
        <v>0</v>
      </c>
      <c r="M3767">
        <v>0</v>
      </c>
      <c r="N3767">
        <v>4</v>
      </c>
      <c r="O3767">
        <v>0</v>
      </c>
      <c r="P3767">
        <v>18.399999999999999</v>
      </c>
      <c r="Q3767">
        <v>0</v>
      </c>
      <c r="R3767">
        <v>0</v>
      </c>
      <c r="S3767">
        <v>0</v>
      </c>
      <c r="T3767">
        <v>0</v>
      </c>
      <c r="U3767">
        <v>0</v>
      </c>
      <c r="V3767">
        <v>0</v>
      </c>
      <c r="W3767">
        <v>0</v>
      </c>
      <c r="X3767">
        <v>0</v>
      </c>
      <c r="Y3767">
        <v>0</v>
      </c>
      <c r="Z3767">
        <v>0</v>
      </c>
      <c r="AA3767">
        <v>0</v>
      </c>
      <c r="AC3767">
        <v>18.399999999999999</v>
      </c>
    </row>
    <row r="3768" spans="1:29">
      <c r="A3768">
        <v>3761</v>
      </c>
      <c r="B3768">
        <v>4674</v>
      </c>
      <c r="C3768" t="s">
        <v>7707</v>
      </c>
      <c r="D3768" t="s">
        <v>7708</v>
      </c>
      <c r="E3768" t="s">
        <v>122</v>
      </c>
      <c r="F3768" t="s">
        <v>7709</v>
      </c>
      <c r="G3768" t="str">
        <f>"00866589"</f>
        <v>00866589</v>
      </c>
      <c r="H3768">
        <v>14.4</v>
      </c>
      <c r="I3768">
        <v>0</v>
      </c>
      <c r="M3768">
        <v>0</v>
      </c>
      <c r="N3768">
        <v>4</v>
      </c>
      <c r="O3768">
        <v>0</v>
      </c>
      <c r="P3768">
        <v>18.399999999999999</v>
      </c>
      <c r="Q3768">
        <v>0</v>
      </c>
      <c r="R3768">
        <v>0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0</v>
      </c>
      <c r="Y3768">
        <v>0</v>
      </c>
      <c r="Z3768">
        <v>0</v>
      </c>
      <c r="AA3768">
        <v>0</v>
      </c>
      <c r="AC3768">
        <v>18.399999999999999</v>
      </c>
    </row>
    <row r="3769" spans="1:29">
      <c r="A3769">
        <v>3762</v>
      </c>
      <c r="B3769">
        <v>4550</v>
      </c>
      <c r="C3769" t="s">
        <v>7725</v>
      </c>
      <c r="D3769" t="s">
        <v>3259</v>
      </c>
      <c r="E3769" t="s">
        <v>156</v>
      </c>
      <c r="F3769" t="s">
        <v>7726</v>
      </c>
      <c r="G3769" t="str">
        <f>"00532633"</f>
        <v>00532633</v>
      </c>
      <c r="H3769">
        <v>14.4</v>
      </c>
      <c r="I3769">
        <v>0</v>
      </c>
      <c r="M3769">
        <v>0</v>
      </c>
      <c r="N3769">
        <v>4</v>
      </c>
      <c r="O3769">
        <v>0</v>
      </c>
      <c r="P3769">
        <v>18.399999999999999</v>
      </c>
      <c r="Q3769">
        <v>0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0</v>
      </c>
      <c r="Y3769">
        <v>0</v>
      </c>
      <c r="Z3769">
        <v>0</v>
      </c>
      <c r="AA3769">
        <v>0</v>
      </c>
      <c r="AC3769">
        <v>18.399999999999999</v>
      </c>
    </row>
    <row r="3770" spans="1:29">
      <c r="A3770">
        <v>3763</v>
      </c>
      <c r="B3770">
        <v>4036</v>
      </c>
      <c r="C3770" t="s">
        <v>2265</v>
      </c>
      <c r="D3770" t="s">
        <v>1278</v>
      </c>
      <c r="E3770" t="s">
        <v>28</v>
      </c>
      <c r="F3770" t="s">
        <v>7714</v>
      </c>
      <c r="G3770" t="str">
        <f>"00854494"</f>
        <v>00854494</v>
      </c>
      <c r="H3770">
        <v>14.4</v>
      </c>
      <c r="I3770">
        <v>0</v>
      </c>
      <c r="L3770">
        <v>4</v>
      </c>
      <c r="M3770">
        <v>4</v>
      </c>
      <c r="N3770">
        <v>0</v>
      </c>
      <c r="O3770">
        <v>0</v>
      </c>
      <c r="P3770">
        <v>18.399999999999999</v>
      </c>
      <c r="Q3770">
        <v>0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0</v>
      </c>
      <c r="Y3770">
        <v>0</v>
      </c>
      <c r="Z3770">
        <v>0</v>
      </c>
      <c r="AA3770">
        <v>0</v>
      </c>
      <c r="AC3770">
        <v>18.399999999999999</v>
      </c>
    </row>
    <row r="3771" spans="1:29">
      <c r="A3771">
        <v>3764</v>
      </c>
      <c r="B3771">
        <v>2166</v>
      </c>
      <c r="C3771" t="s">
        <v>2011</v>
      </c>
      <c r="D3771" t="s">
        <v>251</v>
      </c>
      <c r="E3771" t="s">
        <v>36</v>
      </c>
      <c r="F3771" t="s">
        <v>7701</v>
      </c>
      <c r="G3771" t="str">
        <f>"201410003941"</f>
        <v>201410003941</v>
      </c>
      <c r="H3771">
        <v>14.4</v>
      </c>
      <c r="I3771">
        <v>0</v>
      </c>
      <c r="M3771">
        <v>0</v>
      </c>
      <c r="N3771">
        <v>4</v>
      </c>
      <c r="O3771">
        <v>0</v>
      </c>
      <c r="P3771">
        <v>18.399999999999999</v>
      </c>
      <c r="Q3771">
        <v>0</v>
      </c>
      <c r="R3771">
        <v>0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0</v>
      </c>
      <c r="Y3771">
        <v>0</v>
      </c>
      <c r="Z3771">
        <v>0</v>
      </c>
      <c r="AA3771">
        <v>0</v>
      </c>
      <c r="AC3771">
        <v>18.399999999999999</v>
      </c>
    </row>
    <row r="3772" spans="1:29">
      <c r="A3772">
        <v>3765</v>
      </c>
      <c r="B3772">
        <v>4463</v>
      </c>
      <c r="C3772" t="s">
        <v>7721</v>
      </c>
      <c r="D3772" t="s">
        <v>98</v>
      </c>
      <c r="E3772" t="s">
        <v>15</v>
      </c>
      <c r="F3772" t="s">
        <v>7722</v>
      </c>
      <c r="G3772" t="str">
        <f>"00860535"</f>
        <v>00860535</v>
      </c>
      <c r="H3772">
        <v>14.4</v>
      </c>
      <c r="I3772">
        <v>0</v>
      </c>
      <c r="M3772">
        <v>0</v>
      </c>
      <c r="N3772">
        <v>4</v>
      </c>
      <c r="O3772">
        <v>0</v>
      </c>
      <c r="P3772">
        <v>18.399999999999999</v>
      </c>
      <c r="Q3772">
        <v>0</v>
      </c>
      <c r="R3772">
        <v>0</v>
      </c>
      <c r="S3772">
        <v>0</v>
      </c>
      <c r="T3772">
        <v>0</v>
      </c>
      <c r="U3772">
        <v>0</v>
      </c>
      <c r="V3772">
        <v>0</v>
      </c>
      <c r="W3772">
        <v>0</v>
      </c>
      <c r="X3772">
        <v>0</v>
      </c>
      <c r="Y3772">
        <v>0</v>
      </c>
      <c r="Z3772">
        <v>0</v>
      </c>
      <c r="AA3772">
        <v>0</v>
      </c>
      <c r="AC3772">
        <v>18.399999999999999</v>
      </c>
    </row>
    <row r="3773" spans="1:29">
      <c r="A3773">
        <v>3766</v>
      </c>
      <c r="B3773">
        <v>3736</v>
      </c>
      <c r="C3773" t="s">
        <v>3902</v>
      </c>
      <c r="D3773" t="s">
        <v>24</v>
      </c>
      <c r="E3773" t="s">
        <v>28</v>
      </c>
      <c r="F3773" t="s">
        <v>7731</v>
      </c>
      <c r="G3773" t="str">
        <f>"00558987"</f>
        <v>00558987</v>
      </c>
      <c r="H3773">
        <v>14.4</v>
      </c>
      <c r="I3773">
        <v>0</v>
      </c>
      <c r="M3773">
        <v>0</v>
      </c>
      <c r="N3773">
        <v>4</v>
      </c>
      <c r="O3773">
        <v>0</v>
      </c>
      <c r="P3773">
        <v>18.399999999999999</v>
      </c>
      <c r="Q3773">
        <v>0</v>
      </c>
      <c r="R3773">
        <v>0</v>
      </c>
      <c r="S3773">
        <v>0</v>
      </c>
      <c r="T3773">
        <v>0</v>
      </c>
      <c r="U3773">
        <v>0</v>
      </c>
      <c r="V3773">
        <v>0</v>
      </c>
      <c r="W3773">
        <v>0</v>
      </c>
      <c r="X3773">
        <v>0</v>
      </c>
      <c r="Y3773">
        <v>0</v>
      </c>
      <c r="Z3773">
        <v>0</v>
      </c>
      <c r="AA3773">
        <v>0</v>
      </c>
      <c r="AC3773">
        <v>18.399999999999999</v>
      </c>
    </row>
    <row r="3774" spans="1:29">
      <c r="A3774">
        <v>3767</v>
      </c>
      <c r="B3774">
        <v>2808</v>
      </c>
      <c r="C3774" t="s">
        <v>7702</v>
      </c>
      <c r="D3774" t="s">
        <v>63</v>
      </c>
      <c r="E3774" t="s">
        <v>134</v>
      </c>
      <c r="F3774" t="s">
        <v>7703</v>
      </c>
      <c r="G3774" t="str">
        <f>"00273060"</f>
        <v>00273060</v>
      </c>
      <c r="H3774">
        <v>14.4</v>
      </c>
      <c r="I3774">
        <v>0</v>
      </c>
      <c r="M3774">
        <v>0</v>
      </c>
      <c r="N3774">
        <v>4</v>
      </c>
      <c r="O3774">
        <v>0</v>
      </c>
      <c r="P3774">
        <v>18.399999999999999</v>
      </c>
      <c r="Q3774">
        <v>0</v>
      </c>
      <c r="R3774">
        <v>0</v>
      </c>
      <c r="S3774">
        <v>0</v>
      </c>
      <c r="T3774">
        <v>0</v>
      </c>
      <c r="U3774">
        <v>0</v>
      </c>
      <c r="V3774">
        <v>0</v>
      </c>
      <c r="W3774">
        <v>0</v>
      </c>
      <c r="X3774">
        <v>0</v>
      </c>
      <c r="Y3774">
        <v>0</v>
      </c>
      <c r="Z3774">
        <v>0</v>
      </c>
      <c r="AA3774">
        <v>0</v>
      </c>
      <c r="AC3774">
        <v>18.399999999999999</v>
      </c>
    </row>
    <row r="3775" spans="1:29">
      <c r="A3775">
        <v>3768</v>
      </c>
      <c r="B3775">
        <v>4668</v>
      </c>
      <c r="C3775" t="s">
        <v>3468</v>
      </c>
      <c r="D3775" t="s">
        <v>145</v>
      </c>
      <c r="E3775" t="s">
        <v>53</v>
      </c>
      <c r="F3775" t="s">
        <v>7715</v>
      </c>
      <c r="G3775" t="str">
        <f>"00150961"</f>
        <v>00150961</v>
      </c>
      <c r="H3775">
        <v>14.4</v>
      </c>
      <c r="I3775">
        <v>0</v>
      </c>
      <c r="M3775">
        <v>0</v>
      </c>
      <c r="N3775">
        <v>4</v>
      </c>
      <c r="O3775">
        <v>0</v>
      </c>
      <c r="P3775">
        <v>18.399999999999999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  <c r="Y3775">
        <v>0</v>
      </c>
      <c r="Z3775">
        <v>0</v>
      </c>
      <c r="AA3775">
        <v>0</v>
      </c>
      <c r="AC3775">
        <v>18.399999999999999</v>
      </c>
    </row>
    <row r="3776" spans="1:29">
      <c r="A3776">
        <v>3769</v>
      </c>
      <c r="B3776">
        <v>4625</v>
      </c>
      <c r="C3776" t="s">
        <v>7704</v>
      </c>
      <c r="D3776" t="s">
        <v>7705</v>
      </c>
      <c r="E3776" t="s">
        <v>533</v>
      </c>
      <c r="F3776" t="s">
        <v>7706</v>
      </c>
      <c r="G3776" t="str">
        <f>"201406017295"</f>
        <v>201406017295</v>
      </c>
      <c r="H3776">
        <v>14.4</v>
      </c>
      <c r="I3776">
        <v>0</v>
      </c>
      <c r="M3776">
        <v>0</v>
      </c>
      <c r="N3776">
        <v>4</v>
      </c>
      <c r="O3776">
        <v>0</v>
      </c>
      <c r="P3776">
        <v>18.399999999999999</v>
      </c>
      <c r="Q3776">
        <v>0</v>
      </c>
      <c r="R3776">
        <v>0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0</v>
      </c>
      <c r="Y3776">
        <v>0</v>
      </c>
      <c r="Z3776">
        <v>0</v>
      </c>
      <c r="AA3776">
        <v>0</v>
      </c>
      <c r="AC3776">
        <v>18.399999999999999</v>
      </c>
    </row>
    <row r="3777" spans="1:29">
      <c r="A3777">
        <v>3770</v>
      </c>
      <c r="B3777">
        <v>825</v>
      </c>
      <c r="C3777" t="s">
        <v>2326</v>
      </c>
      <c r="D3777" t="s">
        <v>52</v>
      </c>
      <c r="E3777" t="s">
        <v>581</v>
      </c>
      <c r="F3777" t="s">
        <v>7723</v>
      </c>
      <c r="G3777" t="str">
        <f>"00368290"</f>
        <v>00368290</v>
      </c>
      <c r="H3777">
        <v>14.4</v>
      </c>
      <c r="I3777">
        <v>0</v>
      </c>
      <c r="M3777">
        <v>0</v>
      </c>
      <c r="N3777">
        <v>4</v>
      </c>
      <c r="O3777">
        <v>0</v>
      </c>
      <c r="P3777">
        <v>18.399999999999999</v>
      </c>
      <c r="Q3777">
        <v>0</v>
      </c>
      <c r="R3777">
        <v>0</v>
      </c>
      <c r="S3777">
        <v>0</v>
      </c>
      <c r="T3777">
        <v>0</v>
      </c>
      <c r="U3777">
        <v>0</v>
      </c>
      <c r="V3777">
        <v>0</v>
      </c>
      <c r="W3777">
        <v>0</v>
      </c>
      <c r="X3777">
        <v>0</v>
      </c>
      <c r="Y3777">
        <v>0</v>
      </c>
      <c r="Z3777">
        <v>0</v>
      </c>
      <c r="AA3777">
        <v>0</v>
      </c>
      <c r="AC3777">
        <v>18.399999999999999</v>
      </c>
    </row>
    <row r="3778" spans="1:29">
      <c r="A3778">
        <v>3771</v>
      </c>
      <c r="B3778">
        <v>2057</v>
      </c>
      <c r="C3778" t="s">
        <v>7719</v>
      </c>
      <c r="D3778" t="s">
        <v>98</v>
      </c>
      <c r="E3778" t="s">
        <v>134</v>
      </c>
      <c r="F3778" t="s">
        <v>7720</v>
      </c>
      <c r="G3778" t="str">
        <f>"00864524"</f>
        <v>00864524</v>
      </c>
      <c r="H3778">
        <v>14.4</v>
      </c>
      <c r="I3778">
        <v>0</v>
      </c>
      <c r="M3778">
        <v>0</v>
      </c>
      <c r="N3778">
        <v>4</v>
      </c>
      <c r="O3778">
        <v>0</v>
      </c>
      <c r="P3778">
        <v>18.399999999999999</v>
      </c>
      <c r="Q3778">
        <v>0</v>
      </c>
      <c r="R3778">
        <v>0</v>
      </c>
      <c r="S3778">
        <v>0</v>
      </c>
      <c r="T3778">
        <v>0</v>
      </c>
      <c r="U3778">
        <v>0</v>
      </c>
      <c r="V3778">
        <v>0</v>
      </c>
      <c r="W3778">
        <v>0</v>
      </c>
      <c r="X3778">
        <v>0</v>
      </c>
      <c r="Y3778">
        <v>0</v>
      </c>
      <c r="Z3778">
        <v>0</v>
      </c>
      <c r="AA3778">
        <v>0</v>
      </c>
      <c r="AC3778">
        <v>18.399999999999999</v>
      </c>
    </row>
    <row r="3779" spans="1:29">
      <c r="A3779">
        <v>3772</v>
      </c>
      <c r="B3779">
        <v>2641</v>
      </c>
      <c r="C3779" t="s">
        <v>7710</v>
      </c>
      <c r="D3779" t="s">
        <v>7711</v>
      </c>
      <c r="E3779" t="s">
        <v>134</v>
      </c>
      <c r="F3779" t="s">
        <v>7712</v>
      </c>
      <c r="G3779" t="str">
        <f>"00861882"</f>
        <v>00861882</v>
      </c>
      <c r="H3779">
        <v>14.4</v>
      </c>
      <c r="I3779">
        <v>0</v>
      </c>
      <c r="M3779">
        <v>0</v>
      </c>
      <c r="N3779">
        <v>4</v>
      </c>
      <c r="O3779">
        <v>0</v>
      </c>
      <c r="P3779">
        <v>18.399999999999999</v>
      </c>
      <c r="Q3779">
        <v>0</v>
      </c>
      <c r="R3779">
        <v>0</v>
      </c>
      <c r="S3779">
        <v>0</v>
      </c>
      <c r="T3779">
        <v>0</v>
      </c>
      <c r="U3779">
        <v>0</v>
      </c>
      <c r="V3779">
        <v>0</v>
      </c>
      <c r="W3779">
        <v>0</v>
      </c>
      <c r="X3779">
        <v>0</v>
      </c>
      <c r="Y3779">
        <v>0</v>
      </c>
      <c r="Z3779">
        <v>0</v>
      </c>
      <c r="AA3779">
        <v>0</v>
      </c>
      <c r="AC3779">
        <v>18.399999999999999</v>
      </c>
    </row>
    <row r="3780" spans="1:29">
      <c r="A3780">
        <v>3773</v>
      </c>
      <c r="B3780">
        <v>1467</v>
      </c>
      <c r="C3780" t="s">
        <v>7698</v>
      </c>
      <c r="D3780" t="s">
        <v>349</v>
      </c>
      <c r="E3780" t="s">
        <v>115</v>
      </c>
      <c r="F3780" t="s">
        <v>7699</v>
      </c>
      <c r="G3780" t="str">
        <f>"00152321"</f>
        <v>00152321</v>
      </c>
      <c r="H3780">
        <v>14.4</v>
      </c>
      <c r="I3780">
        <v>0</v>
      </c>
      <c r="M3780">
        <v>0</v>
      </c>
      <c r="N3780">
        <v>4</v>
      </c>
      <c r="O3780">
        <v>0</v>
      </c>
      <c r="P3780">
        <v>18.399999999999999</v>
      </c>
      <c r="Q3780">
        <v>0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  <c r="Y3780">
        <v>0</v>
      </c>
      <c r="Z3780">
        <v>0</v>
      </c>
      <c r="AA3780">
        <v>0</v>
      </c>
      <c r="AC3780">
        <v>18.399999999999999</v>
      </c>
    </row>
    <row r="3781" spans="1:29">
      <c r="A3781">
        <v>3774</v>
      </c>
      <c r="B3781">
        <v>4881</v>
      </c>
      <c r="C3781" t="s">
        <v>2702</v>
      </c>
      <c r="D3781" t="s">
        <v>510</v>
      </c>
      <c r="E3781" t="s">
        <v>115</v>
      </c>
      <c r="F3781" t="s">
        <v>7713</v>
      </c>
      <c r="G3781" t="str">
        <f>"00089288"</f>
        <v>00089288</v>
      </c>
      <c r="H3781">
        <v>14.4</v>
      </c>
      <c r="I3781">
        <v>0</v>
      </c>
      <c r="M3781">
        <v>0</v>
      </c>
      <c r="N3781">
        <v>4</v>
      </c>
      <c r="O3781">
        <v>0</v>
      </c>
      <c r="P3781">
        <v>18.399999999999999</v>
      </c>
      <c r="Q3781">
        <v>0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0</v>
      </c>
      <c r="Y3781">
        <v>0</v>
      </c>
      <c r="Z3781">
        <v>0</v>
      </c>
      <c r="AA3781">
        <v>0</v>
      </c>
      <c r="AC3781">
        <v>18.399999999999999</v>
      </c>
    </row>
    <row r="3782" spans="1:29">
      <c r="A3782">
        <v>3775</v>
      </c>
      <c r="B3782">
        <v>2426</v>
      </c>
      <c r="C3782" t="s">
        <v>316</v>
      </c>
      <c r="D3782" t="s">
        <v>108</v>
      </c>
      <c r="E3782" t="s">
        <v>66</v>
      </c>
      <c r="F3782" t="s">
        <v>7732</v>
      </c>
      <c r="G3782" t="str">
        <f>"00530625"</f>
        <v>00530625</v>
      </c>
      <c r="H3782">
        <v>18.28</v>
      </c>
      <c r="I3782">
        <v>0</v>
      </c>
      <c r="M3782">
        <v>0</v>
      </c>
      <c r="N3782">
        <v>0</v>
      </c>
      <c r="O3782">
        <v>0</v>
      </c>
      <c r="P3782">
        <v>18.28</v>
      </c>
      <c r="Q3782">
        <v>0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0</v>
      </c>
      <c r="Y3782">
        <v>0</v>
      </c>
      <c r="Z3782">
        <v>0</v>
      </c>
      <c r="AA3782">
        <v>0</v>
      </c>
      <c r="AC3782">
        <v>18.28</v>
      </c>
    </row>
    <row r="3783" spans="1:29">
      <c r="A3783">
        <v>3776</v>
      </c>
      <c r="B3783">
        <v>4193</v>
      </c>
      <c r="C3783" t="s">
        <v>4118</v>
      </c>
      <c r="D3783" t="s">
        <v>488</v>
      </c>
      <c r="E3783" t="s">
        <v>134</v>
      </c>
      <c r="F3783" t="s">
        <v>7733</v>
      </c>
      <c r="G3783" t="str">
        <f>"00515791"</f>
        <v>00515791</v>
      </c>
      <c r="H3783">
        <v>7.2</v>
      </c>
      <c r="I3783">
        <v>0</v>
      </c>
      <c r="M3783">
        <v>0</v>
      </c>
      <c r="N3783">
        <v>4</v>
      </c>
      <c r="O3783">
        <v>2</v>
      </c>
      <c r="P3783">
        <v>13.2</v>
      </c>
      <c r="Q3783">
        <v>5</v>
      </c>
      <c r="R3783">
        <v>5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  <c r="Y3783">
        <v>5</v>
      </c>
      <c r="Z3783">
        <v>0</v>
      </c>
      <c r="AA3783">
        <v>0</v>
      </c>
      <c r="AC3783">
        <v>18.2</v>
      </c>
    </row>
    <row r="3784" spans="1:29">
      <c r="A3784">
        <v>3777</v>
      </c>
      <c r="B3784">
        <v>1164</v>
      </c>
      <c r="C3784" t="s">
        <v>7734</v>
      </c>
      <c r="D3784" t="s">
        <v>7735</v>
      </c>
      <c r="E3784" t="s">
        <v>3139</v>
      </c>
      <c r="F3784" t="s">
        <v>7736</v>
      </c>
      <c r="G3784" t="str">
        <f>"00520568"</f>
        <v>00520568</v>
      </c>
      <c r="H3784">
        <v>7.2</v>
      </c>
      <c r="I3784">
        <v>0</v>
      </c>
      <c r="M3784">
        <v>0</v>
      </c>
      <c r="N3784">
        <v>0</v>
      </c>
      <c r="O3784">
        <v>0</v>
      </c>
      <c r="P3784">
        <v>7.2</v>
      </c>
      <c r="Q3784">
        <v>11</v>
      </c>
      <c r="R3784">
        <v>11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0</v>
      </c>
      <c r="Y3784">
        <v>11</v>
      </c>
      <c r="Z3784">
        <v>0</v>
      </c>
      <c r="AA3784">
        <v>0</v>
      </c>
      <c r="AC3784">
        <v>18.2</v>
      </c>
    </row>
    <row r="3785" spans="1:29">
      <c r="A3785">
        <v>3778</v>
      </c>
      <c r="B3785">
        <v>2192</v>
      </c>
      <c r="C3785" t="s">
        <v>7737</v>
      </c>
      <c r="D3785" t="s">
        <v>1660</v>
      </c>
      <c r="E3785" t="s">
        <v>60</v>
      </c>
      <c r="F3785" t="s">
        <v>7738</v>
      </c>
      <c r="G3785" t="str">
        <f>"00459343"</f>
        <v>00459343</v>
      </c>
      <c r="H3785">
        <v>0</v>
      </c>
      <c r="I3785">
        <v>0</v>
      </c>
      <c r="L3785">
        <v>4</v>
      </c>
      <c r="M3785">
        <v>4</v>
      </c>
      <c r="N3785">
        <v>4</v>
      </c>
      <c r="O3785">
        <v>0</v>
      </c>
      <c r="P3785">
        <v>8</v>
      </c>
      <c r="Q3785">
        <v>7</v>
      </c>
      <c r="R3785">
        <v>7</v>
      </c>
      <c r="S3785">
        <v>0</v>
      </c>
      <c r="T3785">
        <v>0</v>
      </c>
      <c r="U3785">
        <v>0</v>
      </c>
      <c r="V3785">
        <v>0</v>
      </c>
      <c r="W3785">
        <v>0</v>
      </c>
      <c r="X3785">
        <v>0</v>
      </c>
      <c r="Y3785">
        <v>7</v>
      </c>
      <c r="Z3785">
        <v>3</v>
      </c>
      <c r="AA3785">
        <v>0</v>
      </c>
      <c r="AC3785">
        <v>18</v>
      </c>
    </row>
    <row r="3786" spans="1:29">
      <c r="A3786">
        <v>3779</v>
      </c>
      <c r="B3786">
        <v>1244</v>
      </c>
      <c r="C3786" t="s">
        <v>415</v>
      </c>
      <c r="D3786" t="s">
        <v>27</v>
      </c>
      <c r="E3786" t="s">
        <v>190</v>
      </c>
      <c r="F3786" t="s">
        <v>7739</v>
      </c>
      <c r="G3786" t="str">
        <f>"00099253"</f>
        <v>00099253</v>
      </c>
      <c r="H3786">
        <v>16</v>
      </c>
      <c r="I3786">
        <v>0</v>
      </c>
      <c r="M3786">
        <v>0</v>
      </c>
      <c r="N3786">
        <v>0</v>
      </c>
      <c r="O3786">
        <v>2</v>
      </c>
      <c r="P3786">
        <v>18</v>
      </c>
      <c r="Q3786">
        <v>0</v>
      </c>
      <c r="R3786">
        <v>0</v>
      </c>
      <c r="S3786">
        <v>0</v>
      </c>
      <c r="T3786">
        <v>0</v>
      </c>
      <c r="U3786">
        <v>0</v>
      </c>
      <c r="V3786">
        <v>0</v>
      </c>
      <c r="W3786">
        <v>0</v>
      </c>
      <c r="X3786">
        <v>0</v>
      </c>
      <c r="Y3786">
        <v>0</v>
      </c>
      <c r="Z3786">
        <v>0</v>
      </c>
      <c r="AA3786">
        <v>0</v>
      </c>
      <c r="AC3786">
        <v>18</v>
      </c>
    </row>
    <row r="3787" spans="1:29">
      <c r="A3787">
        <v>3780</v>
      </c>
      <c r="B3787">
        <v>356</v>
      </c>
      <c r="C3787" t="s">
        <v>7740</v>
      </c>
      <c r="D3787" t="s">
        <v>60</v>
      </c>
      <c r="E3787" t="s">
        <v>904</v>
      </c>
      <c r="F3787" t="s">
        <v>7741</v>
      </c>
      <c r="G3787" t="str">
        <f>"00541902"</f>
        <v>00541902</v>
      </c>
      <c r="H3787">
        <v>0</v>
      </c>
      <c r="I3787">
        <v>10</v>
      </c>
      <c r="L3787">
        <v>4</v>
      </c>
      <c r="M3787">
        <v>4</v>
      </c>
      <c r="N3787">
        <v>4</v>
      </c>
      <c r="O3787">
        <v>0</v>
      </c>
      <c r="P3787">
        <v>18</v>
      </c>
      <c r="Q3787">
        <v>0</v>
      </c>
      <c r="R3787">
        <v>0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0</v>
      </c>
      <c r="Y3787">
        <v>0</v>
      </c>
      <c r="Z3787">
        <v>0</v>
      </c>
      <c r="AA3787">
        <v>0</v>
      </c>
      <c r="AC3787">
        <v>18</v>
      </c>
    </row>
    <row r="3788" spans="1:29">
      <c r="A3788">
        <v>3781</v>
      </c>
      <c r="B3788">
        <v>3867</v>
      </c>
      <c r="C3788" t="s">
        <v>7742</v>
      </c>
      <c r="D3788" t="s">
        <v>7743</v>
      </c>
      <c r="E3788" t="s">
        <v>7744</v>
      </c>
      <c r="F3788" t="s">
        <v>7745</v>
      </c>
      <c r="G3788" t="str">
        <f>"00162672"</f>
        <v>00162672</v>
      </c>
      <c r="H3788">
        <v>0</v>
      </c>
      <c r="I3788">
        <v>0</v>
      </c>
      <c r="J3788">
        <v>8</v>
      </c>
      <c r="M3788">
        <v>8</v>
      </c>
      <c r="N3788">
        <v>4</v>
      </c>
      <c r="O3788">
        <v>0</v>
      </c>
      <c r="P3788">
        <v>12</v>
      </c>
      <c r="Q3788">
        <v>6</v>
      </c>
      <c r="R3788">
        <v>6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  <c r="Y3788">
        <v>6</v>
      </c>
      <c r="Z3788">
        <v>0</v>
      </c>
      <c r="AA3788">
        <v>0</v>
      </c>
      <c r="AC3788">
        <v>18</v>
      </c>
    </row>
    <row r="3789" spans="1:29">
      <c r="A3789">
        <v>3782</v>
      </c>
      <c r="B3789">
        <v>3504</v>
      </c>
      <c r="C3789" t="s">
        <v>7746</v>
      </c>
      <c r="D3789" t="s">
        <v>205</v>
      </c>
      <c r="E3789" t="s">
        <v>15</v>
      </c>
      <c r="F3789" t="s">
        <v>7747</v>
      </c>
      <c r="G3789" t="str">
        <f>"00862040"</f>
        <v>00862040</v>
      </c>
      <c r="H3789">
        <v>14.92</v>
      </c>
      <c r="I3789">
        <v>0</v>
      </c>
      <c r="M3789">
        <v>0</v>
      </c>
      <c r="N3789">
        <v>0</v>
      </c>
      <c r="O3789">
        <v>0</v>
      </c>
      <c r="P3789">
        <v>14.92</v>
      </c>
      <c r="Q3789">
        <v>0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0</v>
      </c>
      <c r="Y3789">
        <v>0</v>
      </c>
      <c r="Z3789">
        <v>3</v>
      </c>
      <c r="AA3789">
        <v>0</v>
      </c>
      <c r="AC3789">
        <v>17.920000000000002</v>
      </c>
    </row>
    <row r="3790" spans="1:29">
      <c r="A3790">
        <v>3783</v>
      </c>
      <c r="B3790">
        <v>2779</v>
      </c>
      <c r="C3790" t="s">
        <v>7748</v>
      </c>
      <c r="D3790" t="s">
        <v>258</v>
      </c>
      <c r="E3790" t="s">
        <v>15</v>
      </c>
      <c r="F3790" t="s">
        <v>7749</v>
      </c>
      <c r="G3790" t="str">
        <f>"00045149"</f>
        <v>00045149</v>
      </c>
      <c r="H3790">
        <v>14.8</v>
      </c>
      <c r="I3790">
        <v>0</v>
      </c>
      <c r="M3790">
        <v>0</v>
      </c>
      <c r="N3790">
        <v>0</v>
      </c>
      <c r="O3790">
        <v>0</v>
      </c>
      <c r="P3790">
        <v>14.8</v>
      </c>
      <c r="Q3790">
        <v>0</v>
      </c>
      <c r="R3790">
        <v>0</v>
      </c>
      <c r="S3790">
        <v>0</v>
      </c>
      <c r="T3790">
        <v>0</v>
      </c>
      <c r="U3790">
        <v>0</v>
      </c>
      <c r="V3790">
        <v>0</v>
      </c>
      <c r="W3790">
        <v>0</v>
      </c>
      <c r="X3790">
        <v>0</v>
      </c>
      <c r="Y3790">
        <v>0</v>
      </c>
      <c r="Z3790">
        <v>3</v>
      </c>
      <c r="AA3790">
        <v>0</v>
      </c>
      <c r="AC3790">
        <v>17.8</v>
      </c>
    </row>
    <row r="3791" spans="1:29">
      <c r="A3791">
        <v>3784</v>
      </c>
      <c r="B3791">
        <v>4683</v>
      </c>
      <c r="C3791" t="s">
        <v>7750</v>
      </c>
      <c r="D3791" t="s">
        <v>337</v>
      </c>
      <c r="E3791" t="s">
        <v>134</v>
      </c>
      <c r="F3791" t="s">
        <v>7751</v>
      </c>
      <c r="G3791" t="str">
        <f>"00352236"</f>
        <v>00352236</v>
      </c>
      <c r="H3791">
        <v>17.72</v>
      </c>
      <c r="I3791">
        <v>0</v>
      </c>
      <c r="M3791">
        <v>0</v>
      </c>
      <c r="N3791">
        <v>0</v>
      </c>
      <c r="O3791">
        <v>0</v>
      </c>
      <c r="P3791">
        <v>17.72</v>
      </c>
      <c r="Q3791">
        <v>0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  <c r="Y3791">
        <v>0</v>
      </c>
      <c r="Z3791">
        <v>0</v>
      </c>
      <c r="AA3791">
        <v>0</v>
      </c>
      <c r="AC3791">
        <v>17.72</v>
      </c>
    </row>
    <row r="3792" spans="1:29">
      <c r="A3792">
        <v>3785</v>
      </c>
      <c r="B3792">
        <v>3249</v>
      </c>
      <c r="C3792" t="s">
        <v>7752</v>
      </c>
      <c r="D3792" t="s">
        <v>784</v>
      </c>
      <c r="E3792" t="s">
        <v>89</v>
      </c>
      <c r="F3792" t="s">
        <v>7753</v>
      </c>
      <c r="G3792" t="str">
        <f>"00862135"</f>
        <v>00862135</v>
      </c>
      <c r="H3792">
        <v>17.600000000000001</v>
      </c>
      <c r="I3792">
        <v>0</v>
      </c>
      <c r="M3792">
        <v>0</v>
      </c>
      <c r="N3792">
        <v>0</v>
      </c>
      <c r="O3792">
        <v>0</v>
      </c>
      <c r="P3792">
        <v>17.600000000000001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  <c r="Y3792">
        <v>0</v>
      </c>
      <c r="Z3792">
        <v>0</v>
      </c>
      <c r="AA3792">
        <v>0</v>
      </c>
      <c r="AC3792">
        <v>17.600000000000001</v>
      </c>
    </row>
    <row r="3793" spans="1:29">
      <c r="A3793">
        <v>3786</v>
      </c>
      <c r="B3793">
        <v>4551</v>
      </c>
      <c r="C3793" t="s">
        <v>7754</v>
      </c>
      <c r="D3793" t="s">
        <v>7755</v>
      </c>
      <c r="E3793" t="s">
        <v>165</v>
      </c>
      <c r="F3793" t="s">
        <v>7756</v>
      </c>
      <c r="G3793" t="str">
        <f>"00080296"</f>
        <v>00080296</v>
      </c>
      <c r="H3793">
        <v>13.6</v>
      </c>
      <c r="I3793">
        <v>0</v>
      </c>
      <c r="M3793">
        <v>0</v>
      </c>
      <c r="N3793">
        <v>4</v>
      </c>
      <c r="O3793">
        <v>0</v>
      </c>
      <c r="P3793">
        <v>17.600000000000001</v>
      </c>
      <c r="Q3793">
        <v>0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0</v>
      </c>
      <c r="Y3793">
        <v>0</v>
      </c>
      <c r="Z3793">
        <v>0</v>
      </c>
      <c r="AA3793">
        <v>0</v>
      </c>
      <c r="AC3793">
        <v>17.600000000000001</v>
      </c>
    </row>
    <row r="3794" spans="1:29">
      <c r="A3794">
        <v>3787</v>
      </c>
      <c r="B3794">
        <v>2880</v>
      </c>
      <c r="C3794" t="s">
        <v>6334</v>
      </c>
      <c r="D3794" t="s">
        <v>86</v>
      </c>
      <c r="E3794" t="s">
        <v>156</v>
      </c>
      <c r="F3794" t="s">
        <v>7762</v>
      </c>
      <c r="G3794" t="str">
        <f>"00654300"</f>
        <v>00654300</v>
      </c>
      <c r="H3794">
        <v>14.4</v>
      </c>
      <c r="I3794">
        <v>0</v>
      </c>
      <c r="M3794">
        <v>0</v>
      </c>
      <c r="N3794">
        <v>0</v>
      </c>
      <c r="O3794">
        <v>0</v>
      </c>
      <c r="P3794">
        <v>14.4</v>
      </c>
      <c r="Q3794">
        <v>0</v>
      </c>
      <c r="R3794">
        <v>0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0</v>
      </c>
      <c r="Y3794">
        <v>0</v>
      </c>
      <c r="Z3794">
        <v>3</v>
      </c>
      <c r="AA3794">
        <v>0</v>
      </c>
      <c r="AC3794">
        <v>17.399999999999999</v>
      </c>
    </row>
    <row r="3795" spans="1:29">
      <c r="A3795">
        <v>3788</v>
      </c>
      <c r="B3795">
        <v>4443</v>
      </c>
      <c r="C3795" t="s">
        <v>6769</v>
      </c>
      <c r="D3795" t="s">
        <v>185</v>
      </c>
      <c r="E3795" t="s">
        <v>79</v>
      </c>
      <c r="F3795" t="s">
        <v>7757</v>
      </c>
      <c r="G3795" t="str">
        <f>"00530811"</f>
        <v>00530811</v>
      </c>
      <c r="H3795">
        <v>14.4</v>
      </c>
      <c r="I3795">
        <v>0</v>
      </c>
      <c r="M3795">
        <v>0</v>
      </c>
      <c r="N3795">
        <v>0</v>
      </c>
      <c r="O3795">
        <v>0</v>
      </c>
      <c r="P3795">
        <v>14.4</v>
      </c>
      <c r="Q3795">
        <v>0</v>
      </c>
      <c r="R3795">
        <v>0</v>
      </c>
      <c r="S3795">
        <v>0</v>
      </c>
      <c r="T3795">
        <v>0</v>
      </c>
      <c r="U3795">
        <v>0</v>
      </c>
      <c r="V3795">
        <v>0</v>
      </c>
      <c r="W3795">
        <v>0</v>
      </c>
      <c r="X3795">
        <v>0</v>
      </c>
      <c r="Y3795">
        <v>0</v>
      </c>
      <c r="Z3795">
        <v>3</v>
      </c>
      <c r="AA3795">
        <v>0</v>
      </c>
      <c r="AC3795">
        <v>17.399999999999999</v>
      </c>
    </row>
    <row r="3796" spans="1:29">
      <c r="A3796">
        <v>3789</v>
      </c>
      <c r="B3796">
        <v>2031</v>
      </c>
      <c r="C3796" t="s">
        <v>4826</v>
      </c>
      <c r="D3796" t="s">
        <v>7760</v>
      </c>
      <c r="E3796" t="s">
        <v>28</v>
      </c>
      <c r="F3796" t="s">
        <v>7761</v>
      </c>
      <c r="G3796" t="str">
        <f>"00441594"</f>
        <v>00441594</v>
      </c>
      <c r="H3796">
        <v>14.4</v>
      </c>
      <c r="I3796">
        <v>0</v>
      </c>
      <c r="M3796">
        <v>0</v>
      </c>
      <c r="N3796">
        <v>0</v>
      </c>
      <c r="O3796">
        <v>0</v>
      </c>
      <c r="P3796">
        <v>14.4</v>
      </c>
      <c r="Q3796">
        <v>0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0</v>
      </c>
      <c r="Y3796">
        <v>0</v>
      </c>
      <c r="Z3796">
        <v>3</v>
      </c>
      <c r="AA3796">
        <v>0</v>
      </c>
      <c r="AC3796">
        <v>17.399999999999999</v>
      </c>
    </row>
    <row r="3797" spans="1:29">
      <c r="A3797">
        <v>3790</v>
      </c>
      <c r="B3797">
        <v>4963</v>
      </c>
      <c r="C3797" t="s">
        <v>7758</v>
      </c>
      <c r="D3797" t="s">
        <v>39</v>
      </c>
      <c r="E3797" t="s">
        <v>36</v>
      </c>
      <c r="F3797" t="s">
        <v>7759</v>
      </c>
      <c r="G3797" t="str">
        <f>"201511019752"</f>
        <v>201511019752</v>
      </c>
      <c r="H3797">
        <v>14.4</v>
      </c>
      <c r="I3797">
        <v>0</v>
      </c>
      <c r="M3797">
        <v>0</v>
      </c>
      <c r="N3797">
        <v>0</v>
      </c>
      <c r="O3797">
        <v>0</v>
      </c>
      <c r="P3797">
        <v>14.4</v>
      </c>
      <c r="Q3797">
        <v>0</v>
      </c>
      <c r="R3797">
        <v>0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0</v>
      </c>
      <c r="Y3797">
        <v>0</v>
      </c>
      <c r="Z3797">
        <v>3</v>
      </c>
      <c r="AA3797">
        <v>0</v>
      </c>
      <c r="AC3797">
        <v>17.399999999999999</v>
      </c>
    </row>
    <row r="3798" spans="1:29">
      <c r="A3798">
        <v>3791</v>
      </c>
      <c r="B3798">
        <v>659</v>
      </c>
      <c r="C3798" t="s">
        <v>7763</v>
      </c>
      <c r="D3798" t="s">
        <v>7764</v>
      </c>
      <c r="E3798" t="s">
        <v>79</v>
      </c>
      <c r="F3798" t="s">
        <v>7765</v>
      </c>
      <c r="G3798" t="str">
        <f>"00162432"</f>
        <v>00162432</v>
      </c>
      <c r="H3798">
        <v>17.32</v>
      </c>
      <c r="I3798">
        <v>0</v>
      </c>
      <c r="M3798">
        <v>0</v>
      </c>
      <c r="N3798">
        <v>0</v>
      </c>
      <c r="O3798">
        <v>0</v>
      </c>
      <c r="P3798">
        <v>17.32</v>
      </c>
      <c r="Q3798">
        <v>0</v>
      </c>
      <c r="R3798">
        <v>0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0</v>
      </c>
      <c r="Y3798">
        <v>0</v>
      </c>
      <c r="Z3798">
        <v>0</v>
      </c>
      <c r="AA3798">
        <v>0</v>
      </c>
      <c r="AC3798">
        <v>17.32</v>
      </c>
    </row>
    <row r="3799" spans="1:29">
      <c r="A3799">
        <v>3792</v>
      </c>
      <c r="B3799">
        <v>2826</v>
      </c>
      <c r="C3799" t="s">
        <v>7766</v>
      </c>
      <c r="D3799" t="s">
        <v>279</v>
      </c>
      <c r="E3799" t="s">
        <v>134</v>
      </c>
      <c r="F3799" t="s">
        <v>7767</v>
      </c>
      <c r="G3799" t="str">
        <f>"00864207"</f>
        <v>00864207</v>
      </c>
      <c r="H3799">
        <v>14.28</v>
      </c>
      <c r="I3799">
        <v>0</v>
      </c>
      <c r="M3799">
        <v>0</v>
      </c>
      <c r="N3799">
        <v>0</v>
      </c>
      <c r="O3799">
        <v>0</v>
      </c>
      <c r="P3799">
        <v>14.28</v>
      </c>
      <c r="Q3799">
        <v>0</v>
      </c>
      <c r="R3799">
        <v>0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0</v>
      </c>
      <c r="Y3799">
        <v>0</v>
      </c>
      <c r="Z3799">
        <v>3</v>
      </c>
      <c r="AA3799">
        <v>0</v>
      </c>
      <c r="AC3799">
        <v>17.28</v>
      </c>
    </row>
    <row r="3800" spans="1:29">
      <c r="A3800">
        <v>3793</v>
      </c>
      <c r="B3800">
        <v>4866</v>
      </c>
      <c r="C3800" t="s">
        <v>7768</v>
      </c>
      <c r="D3800" t="s">
        <v>7769</v>
      </c>
      <c r="E3800" t="s">
        <v>4705</v>
      </c>
      <c r="F3800" t="s">
        <v>7770</v>
      </c>
      <c r="G3800" t="str">
        <f>"00526226"</f>
        <v>00526226</v>
      </c>
      <c r="H3800">
        <v>11.28</v>
      </c>
      <c r="I3800">
        <v>0</v>
      </c>
      <c r="M3800">
        <v>0</v>
      </c>
      <c r="N3800">
        <v>4</v>
      </c>
      <c r="O3800">
        <v>2</v>
      </c>
      <c r="P3800">
        <v>17.28</v>
      </c>
      <c r="Q3800">
        <v>0</v>
      </c>
      <c r="R3800">
        <v>0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0</v>
      </c>
      <c r="Y3800">
        <v>0</v>
      </c>
      <c r="Z3800">
        <v>0</v>
      </c>
      <c r="AA3800">
        <v>0</v>
      </c>
      <c r="AC3800">
        <v>17.28</v>
      </c>
    </row>
    <row r="3801" spans="1:29">
      <c r="A3801">
        <v>3794</v>
      </c>
      <c r="B3801">
        <v>3910</v>
      </c>
      <c r="C3801" t="s">
        <v>7306</v>
      </c>
      <c r="D3801" t="s">
        <v>2650</v>
      </c>
      <c r="E3801" t="s">
        <v>134</v>
      </c>
      <c r="F3801" t="s">
        <v>7771</v>
      </c>
      <c r="G3801" t="str">
        <f>"00529968"</f>
        <v>00529968</v>
      </c>
      <c r="H3801">
        <v>17.239999999999998</v>
      </c>
      <c r="I3801">
        <v>0</v>
      </c>
      <c r="M3801">
        <v>0</v>
      </c>
      <c r="N3801">
        <v>0</v>
      </c>
      <c r="O3801">
        <v>0</v>
      </c>
      <c r="P3801">
        <v>17.239999999999998</v>
      </c>
      <c r="Q3801">
        <v>0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0</v>
      </c>
      <c r="Y3801">
        <v>0</v>
      </c>
      <c r="Z3801">
        <v>0</v>
      </c>
      <c r="AA3801">
        <v>0</v>
      </c>
      <c r="AC3801">
        <v>17.239999999999998</v>
      </c>
    </row>
    <row r="3802" spans="1:29">
      <c r="A3802">
        <v>3795</v>
      </c>
      <c r="B3802">
        <v>3934</v>
      </c>
      <c r="C3802" t="s">
        <v>1182</v>
      </c>
      <c r="D3802" t="s">
        <v>820</v>
      </c>
      <c r="E3802" t="s">
        <v>18</v>
      </c>
      <c r="F3802" t="s">
        <v>7772</v>
      </c>
      <c r="G3802" t="str">
        <f>"00650860"</f>
        <v>00650860</v>
      </c>
      <c r="H3802">
        <v>13.24</v>
      </c>
      <c r="I3802">
        <v>0</v>
      </c>
      <c r="M3802">
        <v>0</v>
      </c>
      <c r="N3802">
        <v>4</v>
      </c>
      <c r="O3802">
        <v>0</v>
      </c>
      <c r="P3802">
        <v>17.239999999999998</v>
      </c>
      <c r="Q3802">
        <v>0</v>
      </c>
      <c r="R3802">
        <v>0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0</v>
      </c>
      <c r="Y3802">
        <v>0</v>
      </c>
      <c r="Z3802">
        <v>0</v>
      </c>
      <c r="AA3802">
        <v>0</v>
      </c>
      <c r="AC3802">
        <v>17.239999999999998</v>
      </c>
    </row>
    <row r="3803" spans="1:29">
      <c r="A3803">
        <v>3796</v>
      </c>
      <c r="B3803">
        <v>1658</v>
      </c>
      <c r="C3803" t="s">
        <v>7774</v>
      </c>
      <c r="D3803" t="s">
        <v>20</v>
      </c>
      <c r="E3803" t="s">
        <v>15</v>
      </c>
      <c r="F3803" t="s">
        <v>7775</v>
      </c>
      <c r="G3803" t="str">
        <f>"201511036326"</f>
        <v>201511036326</v>
      </c>
      <c r="H3803">
        <v>7.2</v>
      </c>
      <c r="I3803">
        <v>0</v>
      </c>
      <c r="M3803">
        <v>0</v>
      </c>
      <c r="N3803">
        <v>4</v>
      </c>
      <c r="O3803">
        <v>0</v>
      </c>
      <c r="P3803">
        <v>11.2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0</v>
      </c>
      <c r="Y3803">
        <v>0</v>
      </c>
      <c r="Z3803">
        <v>6</v>
      </c>
      <c r="AA3803">
        <v>0</v>
      </c>
      <c r="AC3803">
        <v>17.2</v>
      </c>
    </row>
    <row r="3804" spans="1:29">
      <c r="A3804">
        <v>3797</v>
      </c>
      <c r="B3804">
        <v>2351</v>
      </c>
      <c r="C3804" t="s">
        <v>1815</v>
      </c>
      <c r="D3804" t="s">
        <v>7778</v>
      </c>
      <c r="E3804" t="s">
        <v>134</v>
      </c>
      <c r="F3804" t="s">
        <v>7779</v>
      </c>
      <c r="G3804" t="str">
        <f>"00856083"</f>
        <v>00856083</v>
      </c>
      <c r="H3804">
        <v>7.2</v>
      </c>
      <c r="I3804">
        <v>0</v>
      </c>
      <c r="M3804">
        <v>0</v>
      </c>
      <c r="N3804">
        <v>4</v>
      </c>
      <c r="O3804">
        <v>0</v>
      </c>
      <c r="P3804">
        <v>11.2</v>
      </c>
      <c r="Q3804">
        <v>0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  <c r="Y3804">
        <v>0</v>
      </c>
      <c r="Z3804">
        <v>6</v>
      </c>
      <c r="AA3804">
        <v>0</v>
      </c>
      <c r="AC3804">
        <v>17.2</v>
      </c>
    </row>
    <row r="3805" spans="1:29">
      <c r="A3805">
        <v>3798</v>
      </c>
      <c r="B3805">
        <v>4084</v>
      </c>
      <c r="C3805" t="s">
        <v>5681</v>
      </c>
      <c r="D3805" t="s">
        <v>554</v>
      </c>
      <c r="E3805" t="s">
        <v>53</v>
      </c>
      <c r="F3805" t="s">
        <v>7773</v>
      </c>
      <c r="G3805" t="str">
        <f>"00692676"</f>
        <v>00692676</v>
      </c>
      <c r="H3805">
        <v>7.2</v>
      </c>
      <c r="I3805">
        <v>0</v>
      </c>
      <c r="M3805">
        <v>0</v>
      </c>
      <c r="N3805">
        <v>4</v>
      </c>
      <c r="O3805">
        <v>0</v>
      </c>
      <c r="P3805">
        <v>11.2</v>
      </c>
      <c r="Q3805">
        <v>0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0</v>
      </c>
      <c r="Y3805">
        <v>0</v>
      </c>
      <c r="Z3805">
        <v>6</v>
      </c>
      <c r="AA3805">
        <v>0</v>
      </c>
      <c r="AC3805">
        <v>17.2</v>
      </c>
    </row>
    <row r="3806" spans="1:29">
      <c r="A3806">
        <v>3799</v>
      </c>
      <c r="B3806">
        <v>3535</v>
      </c>
      <c r="C3806" t="s">
        <v>7776</v>
      </c>
      <c r="D3806" t="s">
        <v>164</v>
      </c>
      <c r="E3806" t="s">
        <v>581</v>
      </c>
      <c r="F3806" t="s">
        <v>7777</v>
      </c>
      <c r="G3806" t="str">
        <f>"00699205"</f>
        <v>00699205</v>
      </c>
      <c r="H3806">
        <v>7.2</v>
      </c>
      <c r="I3806">
        <v>0</v>
      </c>
      <c r="M3806">
        <v>0</v>
      </c>
      <c r="N3806">
        <v>4</v>
      </c>
      <c r="O3806">
        <v>0</v>
      </c>
      <c r="P3806">
        <v>11.2</v>
      </c>
      <c r="Q3806">
        <v>0</v>
      </c>
      <c r="R3806">
        <v>0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0</v>
      </c>
      <c r="Y3806">
        <v>0</v>
      </c>
      <c r="Z3806">
        <v>6</v>
      </c>
      <c r="AA3806">
        <v>0</v>
      </c>
      <c r="AC3806">
        <v>17.2</v>
      </c>
    </row>
    <row r="3807" spans="1:29">
      <c r="A3807">
        <v>3800</v>
      </c>
      <c r="B3807">
        <v>2947</v>
      </c>
      <c r="C3807" t="s">
        <v>7780</v>
      </c>
      <c r="D3807" t="s">
        <v>1660</v>
      </c>
      <c r="E3807" t="s">
        <v>122</v>
      </c>
      <c r="F3807" t="s">
        <v>7781</v>
      </c>
      <c r="G3807" t="str">
        <f>"00506232"</f>
        <v>00506232</v>
      </c>
      <c r="H3807">
        <v>15.2</v>
      </c>
      <c r="I3807">
        <v>0</v>
      </c>
      <c r="M3807">
        <v>0</v>
      </c>
      <c r="N3807">
        <v>0</v>
      </c>
      <c r="O3807">
        <v>2</v>
      </c>
      <c r="P3807">
        <v>17.2</v>
      </c>
      <c r="Q3807">
        <v>0</v>
      </c>
      <c r="R3807">
        <v>0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0</v>
      </c>
      <c r="Y3807">
        <v>0</v>
      </c>
      <c r="Z3807">
        <v>0</v>
      </c>
      <c r="AA3807">
        <v>0</v>
      </c>
      <c r="AC3807">
        <v>17.2</v>
      </c>
    </row>
    <row r="3808" spans="1:29">
      <c r="A3808">
        <v>3801</v>
      </c>
      <c r="B3808">
        <v>3860</v>
      </c>
      <c r="C3808" t="s">
        <v>7792</v>
      </c>
      <c r="D3808" t="s">
        <v>52</v>
      </c>
      <c r="E3808" t="s">
        <v>66</v>
      </c>
      <c r="F3808" t="s">
        <v>7793</v>
      </c>
      <c r="G3808" t="str">
        <f>"00652824"</f>
        <v>00652824</v>
      </c>
      <c r="H3808">
        <v>7.2</v>
      </c>
      <c r="I3808">
        <v>10</v>
      </c>
      <c r="M3808">
        <v>0</v>
      </c>
      <c r="N3808">
        <v>0</v>
      </c>
      <c r="O3808">
        <v>0</v>
      </c>
      <c r="P3808">
        <v>17.2</v>
      </c>
      <c r="Q3808">
        <v>0</v>
      </c>
      <c r="R3808">
        <v>0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0</v>
      </c>
      <c r="Y3808">
        <v>0</v>
      </c>
      <c r="Z3808">
        <v>0</v>
      </c>
      <c r="AA3808">
        <v>0</v>
      </c>
      <c r="AC3808">
        <v>17.2</v>
      </c>
    </row>
    <row r="3809" spans="1:29">
      <c r="A3809">
        <v>3802</v>
      </c>
      <c r="B3809">
        <v>4317</v>
      </c>
      <c r="C3809" t="s">
        <v>72</v>
      </c>
      <c r="D3809" t="s">
        <v>35</v>
      </c>
      <c r="E3809" t="s">
        <v>564</v>
      </c>
      <c r="F3809" t="s">
        <v>7787</v>
      </c>
      <c r="G3809" t="str">
        <f>"00158133"</f>
        <v>00158133</v>
      </c>
      <c r="H3809">
        <v>7.2</v>
      </c>
      <c r="I3809">
        <v>0</v>
      </c>
      <c r="L3809">
        <v>4</v>
      </c>
      <c r="M3809">
        <v>4</v>
      </c>
      <c r="N3809">
        <v>4</v>
      </c>
      <c r="O3809">
        <v>2</v>
      </c>
      <c r="P3809">
        <v>17.2</v>
      </c>
      <c r="Q3809">
        <v>0</v>
      </c>
      <c r="R3809">
        <v>0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0</v>
      </c>
      <c r="Y3809">
        <v>0</v>
      </c>
      <c r="Z3809">
        <v>0</v>
      </c>
      <c r="AA3809">
        <v>0</v>
      </c>
      <c r="AC3809">
        <v>17.2</v>
      </c>
    </row>
    <row r="3810" spans="1:29">
      <c r="A3810">
        <v>3803</v>
      </c>
      <c r="B3810">
        <v>2153</v>
      </c>
      <c r="C3810" t="s">
        <v>7790</v>
      </c>
      <c r="D3810" t="s">
        <v>52</v>
      </c>
      <c r="E3810" t="s">
        <v>134</v>
      </c>
      <c r="F3810" t="s">
        <v>7791</v>
      </c>
      <c r="G3810" t="str">
        <f>"00558891"</f>
        <v>00558891</v>
      </c>
      <c r="H3810">
        <v>7.2</v>
      </c>
      <c r="I3810">
        <v>0</v>
      </c>
      <c r="L3810">
        <v>4</v>
      </c>
      <c r="M3810">
        <v>4</v>
      </c>
      <c r="N3810">
        <v>4</v>
      </c>
      <c r="O3810">
        <v>2</v>
      </c>
      <c r="P3810">
        <v>17.2</v>
      </c>
      <c r="Q3810">
        <v>0</v>
      </c>
      <c r="R3810">
        <v>0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0</v>
      </c>
      <c r="Y3810">
        <v>0</v>
      </c>
      <c r="Z3810">
        <v>0</v>
      </c>
      <c r="AA3810">
        <v>0</v>
      </c>
      <c r="AC3810">
        <v>17.2</v>
      </c>
    </row>
    <row r="3811" spans="1:29">
      <c r="A3811">
        <v>3804</v>
      </c>
      <c r="B3811">
        <v>4957</v>
      </c>
      <c r="C3811" t="s">
        <v>1539</v>
      </c>
      <c r="D3811" t="s">
        <v>20</v>
      </c>
      <c r="E3811" t="s">
        <v>252</v>
      </c>
      <c r="F3811" t="s">
        <v>7794</v>
      </c>
      <c r="G3811" t="str">
        <f>"201502000426"</f>
        <v>201502000426</v>
      </c>
      <c r="H3811">
        <v>7.2</v>
      </c>
      <c r="I3811">
        <v>0</v>
      </c>
      <c r="L3811">
        <v>4</v>
      </c>
      <c r="M3811">
        <v>4</v>
      </c>
      <c r="N3811">
        <v>4</v>
      </c>
      <c r="O3811">
        <v>2</v>
      </c>
      <c r="P3811">
        <v>17.2</v>
      </c>
      <c r="Q3811">
        <v>0</v>
      </c>
      <c r="R3811">
        <v>0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0</v>
      </c>
      <c r="Y3811">
        <v>0</v>
      </c>
      <c r="Z3811">
        <v>0</v>
      </c>
      <c r="AA3811">
        <v>0</v>
      </c>
      <c r="AC3811">
        <v>17.2</v>
      </c>
    </row>
    <row r="3812" spans="1:29">
      <c r="A3812">
        <v>3805</v>
      </c>
      <c r="B3812">
        <v>1250</v>
      </c>
      <c r="C3812" t="s">
        <v>7788</v>
      </c>
      <c r="D3812" t="s">
        <v>175</v>
      </c>
      <c r="E3812" t="s">
        <v>2600</v>
      </c>
      <c r="F3812" t="s">
        <v>7789</v>
      </c>
      <c r="G3812" t="str">
        <f>"00856427"</f>
        <v>00856427</v>
      </c>
      <c r="H3812">
        <v>7.2</v>
      </c>
      <c r="I3812">
        <v>10</v>
      </c>
      <c r="M3812">
        <v>0</v>
      </c>
      <c r="N3812">
        <v>0</v>
      </c>
      <c r="O3812">
        <v>0</v>
      </c>
      <c r="P3812">
        <v>17.2</v>
      </c>
      <c r="Q3812">
        <v>0</v>
      </c>
      <c r="R3812">
        <v>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  <c r="Y3812">
        <v>0</v>
      </c>
      <c r="Z3812">
        <v>0</v>
      </c>
      <c r="AA3812">
        <v>0</v>
      </c>
      <c r="AC3812">
        <v>17.2</v>
      </c>
    </row>
    <row r="3813" spans="1:29">
      <c r="A3813">
        <v>3806</v>
      </c>
      <c r="B3813">
        <v>3146</v>
      </c>
      <c r="C3813" t="s">
        <v>7783</v>
      </c>
      <c r="D3813" t="s">
        <v>95</v>
      </c>
      <c r="E3813" t="s">
        <v>15</v>
      </c>
      <c r="F3813" t="s">
        <v>7784</v>
      </c>
      <c r="G3813" t="str">
        <f>"00863227"</f>
        <v>00863227</v>
      </c>
      <c r="H3813">
        <v>7.2</v>
      </c>
      <c r="I3813">
        <v>10</v>
      </c>
      <c r="M3813">
        <v>0</v>
      </c>
      <c r="N3813">
        <v>0</v>
      </c>
      <c r="O3813">
        <v>0</v>
      </c>
      <c r="P3813">
        <v>17.2</v>
      </c>
      <c r="Q3813">
        <v>0</v>
      </c>
      <c r="R3813">
        <v>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0</v>
      </c>
      <c r="Y3813">
        <v>0</v>
      </c>
      <c r="Z3813">
        <v>0</v>
      </c>
      <c r="AA3813">
        <v>0</v>
      </c>
      <c r="AC3813">
        <v>17.2</v>
      </c>
    </row>
    <row r="3814" spans="1:29">
      <c r="A3814">
        <v>3807</v>
      </c>
      <c r="B3814">
        <v>3105</v>
      </c>
      <c r="C3814" t="s">
        <v>3444</v>
      </c>
      <c r="D3814" t="s">
        <v>86</v>
      </c>
      <c r="E3814" t="s">
        <v>66</v>
      </c>
      <c r="F3814" t="s">
        <v>7795</v>
      </c>
      <c r="G3814" t="str">
        <f>"00200201"</f>
        <v>00200201</v>
      </c>
      <c r="H3814">
        <v>7.2</v>
      </c>
      <c r="I3814">
        <v>0</v>
      </c>
      <c r="L3814">
        <v>4</v>
      </c>
      <c r="M3814">
        <v>4</v>
      </c>
      <c r="N3814">
        <v>4</v>
      </c>
      <c r="O3814">
        <v>2</v>
      </c>
      <c r="P3814">
        <v>17.2</v>
      </c>
      <c r="Q3814">
        <v>0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  <c r="Y3814">
        <v>0</v>
      </c>
      <c r="Z3814">
        <v>0</v>
      </c>
      <c r="AA3814">
        <v>0</v>
      </c>
      <c r="AC3814">
        <v>17.2</v>
      </c>
    </row>
    <row r="3815" spans="1:29">
      <c r="A3815">
        <v>3808</v>
      </c>
      <c r="B3815">
        <v>2693</v>
      </c>
      <c r="C3815" t="s">
        <v>6290</v>
      </c>
      <c r="D3815" t="s">
        <v>35</v>
      </c>
      <c r="E3815" t="s">
        <v>36</v>
      </c>
      <c r="F3815" t="s">
        <v>7782</v>
      </c>
      <c r="G3815" t="str">
        <f>"00862486"</f>
        <v>00862486</v>
      </c>
      <c r="H3815">
        <v>7.2</v>
      </c>
      <c r="I3815">
        <v>10</v>
      </c>
      <c r="M3815">
        <v>0</v>
      </c>
      <c r="N3815">
        <v>0</v>
      </c>
      <c r="O3815">
        <v>0</v>
      </c>
      <c r="P3815">
        <v>17.2</v>
      </c>
      <c r="Q3815">
        <v>0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  <c r="Y3815">
        <v>0</v>
      </c>
      <c r="Z3815">
        <v>0</v>
      </c>
      <c r="AA3815">
        <v>0</v>
      </c>
      <c r="AC3815">
        <v>17.2</v>
      </c>
    </row>
    <row r="3816" spans="1:29">
      <c r="A3816">
        <v>3809</v>
      </c>
      <c r="B3816">
        <v>1865</v>
      </c>
      <c r="C3816" t="s">
        <v>7785</v>
      </c>
      <c r="D3816" t="s">
        <v>36</v>
      </c>
      <c r="E3816" t="s">
        <v>79</v>
      </c>
      <c r="F3816" t="s">
        <v>7786</v>
      </c>
      <c r="G3816" t="str">
        <f>"00864179"</f>
        <v>00864179</v>
      </c>
      <c r="H3816">
        <v>7.2</v>
      </c>
      <c r="I3816">
        <v>0</v>
      </c>
      <c r="K3816">
        <v>6</v>
      </c>
      <c r="M3816">
        <v>6</v>
      </c>
      <c r="N3816">
        <v>4</v>
      </c>
      <c r="O3816">
        <v>0</v>
      </c>
      <c r="P3816">
        <v>17.2</v>
      </c>
      <c r="Q3816">
        <v>0</v>
      </c>
      <c r="R3816">
        <v>0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0</v>
      </c>
      <c r="Y3816">
        <v>0</v>
      </c>
      <c r="Z3816">
        <v>0</v>
      </c>
      <c r="AA3816">
        <v>0</v>
      </c>
      <c r="AC3816">
        <v>17.2</v>
      </c>
    </row>
    <row r="3817" spans="1:29">
      <c r="A3817">
        <v>3810</v>
      </c>
      <c r="B3817">
        <v>724</v>
      </c>
      <c r="C3817" t="s">
        <v>7796</v>
      </c>
      <c r="D3817" t="s">
        <v>145</v>
      </c>
      <c r="E3817" t="s">
        <v>1020</v>
      </c>
      <c r="F3817" t="s">
        <v>7797</v>
      </c>
      <c r="G3817" t="str">
        <f>"00778939"</f>
        <v>00778939</v>
      </c>
      <c r="H3817">
        <v>13.08</v>
      </c>
      <c r="I3817">
        <v>0</v>
      </c>
      <c r="M3817">
        <v>0</v>
      </c>
      <c r="N3817">
        <v>4</v>
      </c>
      <c r="O3817">
        <v>0</v>
      </c>
      <c r="P3817">
        <v>17.079999999999998</v>
      </c>
      <c r="Q3817">
        <v>0</v>
      </c>
      <c r="R3817">
        <v>0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0</v>
      </c>
      <c r="Y3817">
        <v>0</v>
      </c>
      <c r="Z3817">
        <v>0</v>
      </c>
      <c r="AA3817">
        <v>0</v>
      </c>
      <c r="AC3817">
        <v>17.079999999999998</v>
      </c>
    </row>
    <row r="3818" spans="1:29">
      <c r="A3818">
        <v>3811</v>
      </c>
      <c r="B3818">
        <v>2112</v>
      </c>
      <c r="C3818" t="s">
        <v>7798</v>
      </c>
      <c r="D3818" t="s">
        <v>2162</v>
      </c>
      <c r="E3818" t="s">
        <v>134</v>
      </c>
      <c r="F3818" t="s">
        <v>7799</v>
      </c>
      <c r="G3818" t="str">
        <f>"00717823"</f>
        <v>00717823</v>
      </c>
      <c r="H3818">
        <v>14</v>
      </c>
      <c r="I3818">
        <v>0</v>
      </c>
      <c r="M3818">
        <v>0</v>
      </c>
      <c r="N3818">
        <v>0</v>
      </c>
      <c r="O3818">
        <v>0</v>
      </c>
      <c r="P3818">
        <v>14</v>
      </c>
      <c r="Q3818">
        <v>0</v>
      </c>
      <c r="R3818">
        <v>0</v>
      </c>
      <c r="S3818">
        <v>0</v>
      </c>
      <c r="T3818">
        <v>0</v>
      </c>
      <c r="U3818">
        <v>0</v>
      </c>
      <c r="V3818">
        <v>0</v>
      </c>
      <c r="W3818">
        <v>0</v>
      </c>
      <c r="X3818">
        <v>0</v>
      </c>
      <c r="Y3818">
        <v>0</v>
      </c>
      <c r="Z3818">
        <v>3</v>
      </c>
      <c r="AA3818">
        <v>0</v>
      </c>
      <c r="AC3818">
        <v>17</v>
      </c>
    </row>
    <row r="3819" spans="1:29">
      <c r="A3819">
        <v>3812</v>
      </c>
      <c r="B3819">
        <v>535</v>
      </c>
      <c r="C3819" t="s">
        <v>7802</v>
      </c>
      <c r="D3819" t="s">
        <v>27</v>
      </c>
      <c r="E3819" t="s">
        <v>7803</v>
      </c>
      <c r="F3819" t="s">
        <v>7804</v>
      </c>
      <c r="G3819" t="str">
        <f>"00187543"</f>
        <v>00187543</v>
      </c>
      <c r="H3819">
        <v>0</v>
      </c>
      <c r="I3819">
        <v>10</v>
      </c>
      <c r="M3819">
        <v>0</v>
      </c>
      <c r="N3819">
        <v>4</v>
      </c>
      <c r="O3819">
        <v>0</v>
      </c>
      <c r="P3819">
        <v>14</v>
      </c>
      <c r="Q3819">
        <v>0</v>
      </c>
      <c r="R3819">
        <v>0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0</v>
      </c>
      <c r="Y3819">
        <v>0</v>
      </c>
      <c r="Z3819">
        <v>3</v>
      </c>
      <c r="AA3819">
        <v>0</v>
      </c>
      <c r="AC3819">
        <v>17</v>
      </c>
    </row>
    <row r="3820" spans="1:29">
      <c r="A3820">
        <v>3813</v>
      </c>
      <c r="B3820">
        <v>1055</v>
      </c>
      <c r="C3820" t="s">
        <v>7800</v>
      </c>
      <c r="D3820" t="s">
        <v>31</v>
      </c>
      <c r="E3820" t="s">
        <v>36</v>
      </c>
      <c r="F3820" t="s">
        <v>7801</v>
      </c>
      <c r="G3820" t="str">
        <f>"00557156"</f>
        <v>00557156</v>
      </c>
      <c r="H3820">
        <v>0</v>
      </c>
      <c r="I3820">
        <v>10</v>
      </c>
      <c r="M3820">
        <v>0</v>
      </c>
      <c r="N3820">
        <v>4</v>
      </c>
      <c r="O3820">
        <v>0</v>
      </c>
      <c r="P3820">
        <v>14</v>
      </c>
      <c r="Q3820">
        <v>0</v>
      </c>
      <c r="R3820">
        <v>0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0</v>
      </c>
      <c r="Y3820">
        <v>0</v>
      </c>
      <c r="Z3820">
        <v>3</v>
      </c>
      <c r="AA3820">
        <v>0</v>
      </c>
      <c r="AC3820">
        <v>17</v>
      </c>
    </row>
    <row r="3821" spans="1:29">
      <c r="A3821">
        <v>3814</v>
      </c>
      <c r="B3821">
        <v>3697</v>
      </c>
      <c r="C3821" t="s">
        <v>571</v>
      </c>
      <c r="D3821" t="s">
        <v>784</v>
      </c>
      <c r="E3821" t="s">
        <v>337</v>
      </c>
      <c r="F3821" t="s">
        <v>7805</v>
      </c>
      <c r="G3821" t="str">
        <f>"00022613"</f>
        <v>00022613</v>
      </c>
      <c r="H3821">
        <v>0</v>
      </c>
      <c r="I3821">
        <v>0</v>
      </c>
      <c r="M3821">
        <v>0</v>
      </c>
      <c r="N3821">
        <v>4</v>
      </c>
      <c r="O3821">
        <v>2</v>
      </c>
      <c r="P3821">
        <v>6</v>
      </c>
      <c r="Q3821">
        <v>11</v>
      </c>
      <c r="R3821">
        <v>11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0</v>
      </c>
      <c r="Y3821">
        <v>11</v>
      </c>
      <c r="Z3821">
        <v>0</v>
      </c>
      <c r="AA3821">
        <v>0</v>
      </c>
      <c r="AC3821">
        <v>17</v>
      </c>
    </row>
    <row r="3822" spans="1:29">
      <c r="A3822">
        <v>3815</v>
      </c>
      <c r="B3822">
        <v>2770</v>
      </c>
      <c r="C3822" t="s">
        <v>7806</v>
      </c>
      <c r="D3822" t="s">
        <v>159</v>
      </c>
      <c r="E3822" t="s">
        <v>36</v>
      </c>
      <c r="F3822" t="s">
        <v>7807</v>
      </c>
      <c r="G3822" t="str">
        <f>"00528352"</f>
        <v>00528352</v>
      </c>
      <c r="H3822">
        <v>0</v>
      </c>
      <c r="I3822">
        <v>0</v>
      </c>
      <c r="M3822">
        <v>0</v>
      </c>
      <c r="N3822">
        <v>4</v>
      </c>
      <c r="O3822">
        <v>0</v>
      </c>
      <c r="P3822">
        <v>4</v>
      </c>
      <c r="Q3822">
        <v>13</v>
      </c>
      <c r="R3822">
        <v>13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0</v>
      </c>
      <c r="Y3822">
        <v>13</v>
      </c>
      <c r="Z3822">
        <v>0</v>
      </c>
      <c r="AA3822">
        <v>0</v>
      </c>
      <c r="AC3822">
        <v>17</v>
      </c>
    </row>
    <row r="3823" spans="1:29">
      <c r="A3823">
        <v>3816</v>
      </c>
      <c r="B3823">
        <v>3770</v>
      </c>
      <c r="C3823" t="s">
        <v>7808</v>
      </c>
      <c r="D3823" t="s">
        <v>17</v>
      </c>
      <c r="E3823" t="s">
        <v>233</v>
      </c>
      <c r="F3823" t="s">
        <v>7809</v>
      </c>
      <c r="G3823" t="str">
        <f>"00862768"</f>
        <v>00862768</v>
      </c>
      <c r="H3823">
        <v>10.92</v>
      </c>
      <c r="I3823">
        <v>0</v>
      </c>
      <c r="M3823">
        <v>0</v>
      </c>
      <c r="N3823">
        <v>0</v>
      </c>
      <c r="O3823">
        <v>0</v>
      </c>
      <c r="P3823">
        <v>10.92</v>
      </c>
      <c r="Q3823">
        <v>0</v>
      </c>
      <c r="R3823">
        <v>0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0</v>
      </c>
      <c r="Y3823">
        <v>0</v>
      </c>
      <c r="Z3823">
        <v>6</v>
      </c>
      <c r="AA3823">
        <v>0</v>
      </c>
      <c r="AC3823">
        <v>16.920000000000002</v>
      </c>
    </row>
    <row r="3824" spans="1:29">
      <c r="A3824">
        <v>3817</v>
      </c>
      <c r="B3824">
        <v>4225</v>
      </c>
      <c r="C3824" t="s">
        <v>7810</v>
      </c>
      <c r="D3824" t="s">
        <v>27</v>
      </c>
      <c r="E3824" t="s">
        <v>66</v>
      </c>
      <c r="F3824" t="s">
        <v>7811</v>
      </c>
      <c r="G3824" t="str">
        <f>"00438550"</f>
        <v>00438550</v>
      </c>
      <c r="H3824">
        <v>16.8</v>
      </c>
      <c r="I3824">
        <v>0</v>
      </c>
      <c r="M3824">
        <v>0</v>
      </c>
      <c r="N3824">
        <v>0</v>
      </c>
      <c r="O3824">
        <v>0</v>
      </c>
      <c r="P3824">
        <v>16.8</v>
      </c>
      <c r="Q3824">
        <v>0</v>
      </c>
      <c r="R3824">
        <v>0</v>
      </c>
      <c r="S3824">
        <v>0</v>
      </c>
      <c r="T3824">
        <v>0</v>
      </c>
      <c r="U3824">
        <v>0</v>
      </c>
      <c r="V3824">
        <v>0</v>
      </c>
      <c r="W3824">
        <v>0</v>
      </c>
      <c r="X3824">
        <v>0</v>
      </c>
      <c r="Y3824">
        <v>0</v>
      </c>
      <c r="Z3824">
        <v>0</v>
      </c>
      <c r="AA3824">
        <v>0</v>
      </c>
      <c r="AC3824">
        <v>16.8</v>
      </c>
    </row>
    <row r="3825" spans="1:29">
      <c r="A3825">
        <v>3818</v>
      </c>
      <c r="B3825">
        <v>3692</v>
      </c>
      <c r="C3825" t="s">
        <v>7812</v>
      </c>
      <c r="D3825" t="s">
        <v>3889</v>
      </c>
      <c r="E3825" t="s">
        <v>7813</v>
      </c>
      <c r="F3825" t="s">
        <v>7814</v>
      </c>
      <c r="G3825" t="str">
        <f>"00530937"</f>
        <v>00530937</v>
      </c>
      <c r="H3825">
        <v>13.6</v>
      </c>
      <c r="I3825">
        <v>0</v>
      </c>
      <c r="M3825">
        <v>0</v>
      </c>
      <c r="N3825">
        <v>0</v>
      </c>
      <c r="O3825">
        <v>0</v>
      </c>
      <c r="P3825">
        <v>13.6</v>
      </c>
      <c r="Q3825">
        <v>0</v>
      </c>
      <c r="R3825">
        <v>0</v>
      </c>
      <c r="S3825">
        <v>0</v>
      </c>
      <c r="T3825">
        <v>0</v>
      </c>
      <c r="U3825">
        <v>0</v>
      </c>
      <c r="V3825">
        <v>0</v>
      </c>
      <c r="W3825">
        <v>0</v>
      </c>
      <c r="X3825">
        <v>0</v>
      </c>
      <c r="Y3825">
        <v>0</v>
      </c>
      <c r="Z3825">
        <v>3</v>
      </c>
      <c r="AA3825">
        <v>0</v>
      </c>
      <c r="AC3825">
        <v>16.600000000000001</v>
      </c>
    </row>
    <row r="3826" spans="1:29">
      <c r="A3826">
        <v>3819</v>
      </c>
      <c r="B3826">
        <v>1030</v>
      </c>
      <c r="C3826" t="s">
        <v>6092</v>
      </c>
      <c r="D3826" t="s">
        <v>4663</v>
      </c>
      <c r="E3826" t="s">
        <v>115</v>
      </c>
      <c r="F3826" t="s">
        <v>7815</v>
      </c>
      <c r="G3826" t="str">
        <f>"00842138"</f>
        <v>00842138</v>
      </c>
      <c r="H3826">
        <v>12.56</v>
      </c>
      <c r="I3826">
        <v>0</v>
      </c>
      <c r="M3826">
        <v>0</v>
      </c>
      <c r="N3826">
        <v>4</v>
      </c>
      <c r="O3826">
        <v>0</v>
      </c>
      <c r="P3826">
        <v>16.559999999999999</v>
      </c>
      <c r="Q3826">
        <v>0</v>
      </c>
      <c r="R3826">
        <v>0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0</v>
      </c>
      <c r="Y3826">
        <v>0</v>
      </c>
      <c r="Z3826">
        <v>0</v>
      </c>
      <c r="AA3826">
        <v>0</v>
      </c>
      <c r="AC3826">
        <v>16.559999999999999</v>
      </c>
    </row>
    <row r="3827" spans="1:29">
      <c r="A3827">
        <v>3820</v>
      </c>
      <c r="B3827">
        <v>3264</v>
      </c>
      <c r="C3827" t="s">
        <v>1792</v>
      </c>
      <c r="D3827" t="s">
        <v>784</v>
      </c>
      <c r="E3827" t="s">
        <v>745</v>
      </c>
      <c r="F3827" t="s">
        <v>7816</v>
      </c>
      <c r="G3827" t="str">
        <f>"00858362"</f>
        <v>00858362</v>
      </c>
      <c r="H3827">
        <v>16.399999999999999</v>
      </c>
      <c r="I3827">
        <v>0</v>
      </c>
      <c r="M3827">
        <v>0</v>
      </c>
      <c r="N3827">
        <v>0</v>
      </c>
      <c r="O3827">
        <v>0</v>
      </c>
      <c r="P3827">
        <v>16.399999999999999</v>
      </c>
      <c r="Q3827">
        <v>0</v>
      </c>
      <c r="R3827">
        <v>0</v>
      </c>
      <c r="S3827">
        <v>0</v>
      </c>
      <c r="T3827">
        <v>0</v>
      </c>
      <c r="U3827">
        <v>0</v>
      </c>
      <c r="V3827">
        <v>0</v>
      </c>
      <c r="W3827">
        <v>0</v>
      </c>
      <c r="X3827">
        <v>0</v>
      </c>
      <c r="Y3827">
        <v>0</v>
      </c>
      <c r="Z3827">
        <v>0</v>
      </c>
      <c r="AA3827">
        <v>0</v>
      </c>
      <c r="AC3827">
        <v>16.399999999999999</v>
      </c>
    </row>
    <row r="3828" spans="1:29">
      <c r="A3828">
        <v>3821</v>
      </c>
      <c r="B3828">
        <v>4733</v>
      </c>
      <c r="C3828" t="s">
        <v>3501</v>
      </c>
      <c r="D3828" t="s">
        <v>52</v>
      </c>
      <c r="E3828" t="s">
        <v>79</v>
      </c>
      <c r="F3828" t="s">
        <v>7817</v>
      </c>
      <c r="G3828" t="str">
        <f>"00866379"</f>
        <v>00866379</v>
      </c>
      <c r="H3828">
        <v>14.4</v>
      </c>
      <c r="I3828">
        <v>0</v>
      </c>
      <c r="M3828">
        <v>0</v>
      </c>
      <c r="N3828">
        <v>0</v>
      </c>
      <c r="O3828">
        <v>2</v>
      </c>
      <c r="P3828">
        <v>16.399999999999999</v>
      </c>
      <c r="Q3828">
        <v>0</v>
      </c>
      <c r="R3828">
        <v>0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0</v>
      </c>
      <c r="Y3828">
        <v>0</v>
      </c>
      <c r="Z3828">
        <v>0</v>
      </c>
      <c r="AA3828">
        <v>0</v>
      </c>
      <c r="AC3828">
        <v>16.399999999999999</v>
      </c>
    </row>
    <row r="3829" spans="1:29">
      <c r="A3829">
        <v>3822</v>
      </c>
      <c r="B3829">
        <v>3931</v>
      </c>
      <c r="C3829" t="s">
        <v>4343</v>
      </c>
      <c r="D3829" t="s">
        <v>86</v>
      </c>
      <c r="E3829" t="s">
        <v>156</v>
      </c>
      <c r="F3829" t="s">
        <v>7818</v>
      </c>
      <c r="G3829" t="str">
        <f>"00562487"</f>
        <v>00562487</v>
      </c>
      <c r="H3829">
        <v>14.4</v>
      </c>
      <c r="I3829">
        <v>0</v>
      </c>
      <c r="M3829">
        <v>0</v>
      </c>
      <c r="N3829">
        <v>0</v>
      </c>
      <c r="O3829">
        <v>2</v>
      </c>
      <c r="P3829">
        <v>16.399999999999999</v>
      </c>
      <c r="Q3829">
        <v>0</v>
      </c>
      <c r="R3829">
        <v>0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0</v>
      </c>
      <c r="Y3829">
        <v>0</v>
      </c>
      <c r="Z3829">
        <v>0</v>
      </c>
      <c r="AA3829">
        <v>0</v>
      </c>
      <c r="AC3829">
        <v>16.399999999999999</v>
      </c>
    </row>
    <row r="3830" spans="1:29">
      <c r="A3830">
        <v>3823</v>
      </c>
      <c r="B3830">
        <v>3058</v>
      </c>
      <c r="C3830" t="s">
        <v>1625</v>
      </c>
      <c r="D3830" t="s">
        <v>27</v>
      </c>
      <c r="E3830" t="s">
        <v>15</v>
      </c>
      <c r="F3830" t="s">
        <v>7819</v>
      </c>
      <c r="G3830" t="str">
        <f>"00863479"</f>
        <v>00863479</v>
      </c>
      <c r="H3830">
        <v>10.28</v>
      </c>
      <c r="I3830">
        <v>0</v>
      </c>
      <c r="M3830">
        <v>0</v>
      </c>
      <c r="N3830">
        <v>0</v>
      </c>
      <c r="O3830">
        <v>0</v>
      </c>
      <c r="P3830">
        <v>10.28</v>
      </c>
      <c r="Q3830">
        <v>0</v>
      </c>
      <c r="R3830">
        <v>0</v>
      </c>
      <c r="S3830">
        <v>0</v>
      </c>
      <c r="T3830">
        <v>0</v>
      </c>
      <c r="U3830">
        <v>0</v>
      </c>
      <c r="V3830">
        <v>0</v>
      </c>
      <c r="W3830">
        <v>0</v>
      </c>
      <c r="X3830">
        <v>0</v>
      </c>
      <c r="Y3830">
        <v>0</v>
      </c>
      <c r="Z3830">
        <v>6</v>
      </c>
      <c r="AA3830">
        <v>0</v>
      </c>
      <c r="AC3830">
        <v>16.28</v>
      </c>
    </row>
    <row r="3831" spans="1:29">
      <c r="A3831">
        <v>3824</v>
      </c>
      <c r="B3831">
        <v>2242</v>
      </c>
      <c r="C3831" t="s">
        <v>6650</v>
      </c>
      <c r="D3831" t="s">
        <v>7820</v>
      </c>
      <c r="E3831" t="s">
        <v>18</v>
      </c>
      <c r="F3831" t="s">
        <v>7821</v>
      </c>
      <c r="G3831" t="str">
        <f>"00041075"</f>
        <v>00041075</v>
      </c>
      <c r="H3831">
        <v>6.2</v>
      </c>
      <c r="I3831">
        <v>0</v>
      </c>
      <c r="M3831">
        <v>0</v>
      </c>
      <c r="N3831">
        <v>4</v>
      </c>
      <c r="O3831">
        <v>0</v>
      </c>
      <c r="P3831">
        <v>10.199999999999999</v>
      </c>
      <c r="Q3831">
        <v>0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0</v>
      </c>
      <c r="Y3831">
        <v>0</v>
      </c>
      <c r="Z3831">
        <v>6</v>
      </c>
      <c r="AA3831">
        <v>0</v>
      </c>
      <c r="AC3831">
        <v>16.2</v>
      </c>
    </row>
    <row r="3832" spans="1:29">
      <c r="A3832">
        <v>3825</v>
      </c>
      <c r="B3832">
        <v>3297</v>
      </c>
      <c r="C3832" t="s">
        <v>3468</v>
      </c>
      <c r="D3832" t="s">
        <v>159</v>
      </c>
      <c r="E3832" t="s">
        <v>2687</v>
      </c>
      <c r="F3832">
        <v>203077</v>
      </c>
      <c r="G3832" t="str">
        <f>"00856992"</f>
        <v>00856992</v>
      </c>
      <c r="H3832">
        <v>13.2</v>
      </c>
      <c r="I3832">
        <v>0</v>
      </c>
      <c r="M3832">
        <v>0</v>
      </c>
      <c r="N3832">
        <v>0</v>
      </c>
      <c r="O3832">
        <v>0</v>
      </c>
      <c r="P3832">
        <v>13.2</v>
      </c>
      <c r="Q3832">
        <v>0</v>
      </c>
      <c r="R3832">
        <v>0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0</v>
      </c>
      <c r="Y3832">
        <v>0</v>
      </c>
      <c r="Z3832">
        <v>3</v>
      </c>
      <c r="AA3832">
        <v>0</v>
      </c>
      <c r="AC3832">
        <v>16.2</v>
      </c>
    </row>
    <row r="3833" spans="1:29">
      <c r="A3833">
        <v>3826</v>
      </c>
      <c r="B3833">
        <v>795</v>
      </c>
      <c r="C3833" t="s">
        <v>6462</v>
      </c>
      <c r="D3833" t="s">
        <v>349</v>
      </c>
      <c r="E3833" t="s">
        <v>36</v>
      </c>
      <c r="F3833" t="s">
        <v>7825</v>
      </c>
      <c r="G3833" t="str">
        <f>"201407000317"</f>
        <v>201407000317</v>
      </c>
      <c r="H3833">
        <v>7.2</v>
      </c>
      <c r="I3833">
        <v>0</v>
      </c>
      <c r="L3833">
        <v>4</v>
      </c>
      <c r="M3833">
        <v>4</v>
      </c>
      <c r="N3833">
        <v>0</v>
      </c>
      <c r="O3833">
        <v>2</v>
      </c>
      <c r="P3833">
        <v>13.2</v>
      </c>
      <c r="Q3833">
        <v>0</v>
      </c>
      <c r="R3833">
        <v>0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0</v>
      </c>
      <c r="Y3833">
        <v>0</v>
      </c>
      <c r="Z3833">
        <v>3</v>
      </c>
      <c r="AA3833">
        <v>0</v>
      </c>
      <c r="AC3833">
        <v>16.2</v>
      </c>
    </row>
    <row r="3834" spans="1:29">
      <c r="A3834">
        <v>3827</v>
      </c>
      <c r="B3834">
        <v>1587</v>
      </c>
      <c r="C3834" t="s">
        <v>7822</v>
      </c>
      <c r="D3834" t="s">
        <v>7823</v>
      </c>
      <c r="E3834" t="s">
        <v>451</v>
      </c>
      <c r="F3834" t="s">
        <v>7824</v>
      </c>
      <c r="G3834" t="str">
        <f>"200802006673"</f>
        <v>200802006673</v>
      </c>
      <c r="H3834">
        <v>7.2</v>
      </c>
      <c r="I3834">
        <v>0</v>
      </c>
      <c r="L3834">
        <v>4</v>
      </c>
      <c r="M3834">
        <v>4</v>
      </c>
      <c r="N3834">
        <v>0</v>
      </c>
      <c r="O3834">
        <v>2</v>
      </c>
      <c r="P3834">
        <v>13.2</v>
      </c>
      <c r="Q3834">
        <v>0</v>
      </c>
      <c r="R3834">
        <v>0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0</v>
      </c>
      <c r="Y3834">
        <v>0</v>
      </c>
      <c r="Z3834">
        <v>3</v>
      </c>
      <c r="AA3834">
        <v>0</v>
      </c>
      <c r="AC3834">
        <v>16.2</v>
      </c>
    </row>
    <row r="3835" spans="1:29">
      <c r="A3835">
        <v>3828</v>
      </c>
      <c r="B3835">
        <v>3841</v>
      </c>
      <c r="C3835" t="s">
        <v>1095</v>
      </c>
      <c r="D3835" t="s">
        <v>279</v>
      </c>
      <c r="E3835" t="s">
        <v>134</v>
      </c>
      <c r="F3835" t="s">
        <v>7826</v>
      </c>
      <c r="G3835" t="str">
        <f>"00157299"</f>
        <v>00157299</v>
      </c>
      <c r="H3835">
        <v>7.2</v>
      </c>
      <c r="I3835">
        <v>0</v>
      </c>
      <c r="M3835">
        <v>0</v>
      </c>
      <c r="N3835">
        <v>0</v>
      </c>
      <c r="O3835">
        <v>0</v>
      </c>
      <c r="P3835">
        <v>7.2</v>
      </c>
      <c r="Q3835">
        <v>6</v>
      </c>
      <c r="R3835">
        <v>6</v>
      </c>
      <c r="S3835">
        <v>0</v>
      </c>
      <c r="T3835">
        <v>0</v>
      </c>
      <c r="U3835">
        <v>0</v>
      </c>
      <c r="V3835">
        <v>0</v>
      </c>
      <c r="W3835">
        <v>0</v>
      </c>
      <c r="X3835">
        <v>0</v>
      </c>
      <c r="Y3835">
        <v>6</v>
      </c>
      <c r="Z3835">
        <v>3</v>
      </c>
      <c r="AA3835">
        <v>0</v>
      </c>
      <c r="AC3835">
        <v>16.2</v>
      </c>
    </row>
    <row r="3836" spans="1:29">
      <c r="A3836">
        <v>3829</v>
      </c>
      <c r="B3836">
        <v>4851</v>
      </c>
      <c r="C3836" t="s">
        <v>7827</v>
      </c>
      <c r="D3836" t="s">
        <v>124</v>
      </c>
      <c r="E3836" t="s">
        <v>79</v>
      </c>
      <c r="F3836" t="s">
        <v>7828</v>
      </c>
      <c r="G3836" t="str">
        <f>"00866050"</f>
        <v>00866050</v>
      </c>
      <c r="H3836">
        <v>10.16</v>
      </c>
      <c r="I3836">
        <v>0</v>
      </c>
      <c r="M3836">
        <v>0</v>
      </c>
      <c r="N3836">
        <v>0</v>
      </c>
      <c r="O3836">
        <v>0</v>
      </c>
      <c r="P3836">
        <v>10.16</v>
      </c>
      <c r="Q3836">
        <v>0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  <c r="Y3836">
        <v>0</v>
      </c>
      <c r="Z3836">
        <v>6</v>
      </c>
      <c r="AA3836">
        <v>0</v>
      </c>
      <c r="AC3836">
        <v>16.16</v>
      </c>
    </row>
    <row r="3837" spans="1:29">
      <c r="A3837">
        <v>3830</v>
      </c>
      <c r="B3837">
        <v>4267</v>
      </c>
      <c r="C3837" t="s">
        <v>7829</v>
      </c>
      <c r="D3837" t="s">
        <v>95</v>
      </c>
      <c r="E3837" t="s">
        <v>252</v>
      </c>
      <c r="F3837" t="s">
        <v>7830</v>
      </c>
      <c r="G3837" t="str">
        <f>"00652751"</f>
        <v>00652751</v>
      </c>
      <c r="H3837">
        <v>16.04</v>
      </c>
      <c r="I3837">
        <v>0</v>
      </c>
      <c r="M3837">
        <v>0</v>
      </c>
      <c r="N3837">
        <v>0</v>
      </c>
      <c r="O3837">
        <v>0</v>
      </c>
      <c r="P3837">
        <v>16.04</v>
      </c>
      <c r="Q3837">
        <v>0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  <c r="Y3837">
        <v>0</v>
      </c>
      <c r="Z3837">
        <v>0</v>
      </c>
      <c r="AA3837">
        <v>0</v>
      </c>
      <c r="AC3837">
        <v>16.04</v>
      </c>
    </row>
    <row r="3838" spans="1:29">
      <c r="A3838">
        <v>3831</v>
      </c>
      <c r="B3838">
        <v>961</v>
      </c>
      <c r="C3838" t="s">
        <v>7834</v>
      </c>
      <c r="D3838" t="s">
        <v>343</v>
      </c>
      <c r="E3838" t="s">
        <v>3453</v>
      </c>
      <c r="F3838" t="s">
        <v>7835</v>
      </c>
      <c r="G3838" t="str">
        <f>"00856834"</f>
        <v>00856834</v>
      </c>
      <c r="H3838">
        <v>0</v>
      </c>
      <c r="I3838">
        <v>0</v>
      </c>
      <c r="L3838">
        <v>4</v>
      </c>
      <c r="M3838">
        <v>4</v>
      </c>
      <c r="N3838">
        <v>4</v>
      </c>
      <c r="O3838">
        <v>2</v>
      </c>
      <c r="P3838">
        <v>10</v>
      </c>
      <c r="Q3838">
        <v>0</v>
      </c>
      <c r="R3838">
        <v>0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0</v>
      </c>
      <c r="Y3838">
        <v>0</v>
      </c>
      <c r="Z3838">
        <v>6</v>
      </c>
      <c r="AA3838">
        <v>0</v>
      </c>
      <c r="AC3838">
        <v>16</v>
      </c>
    </row>
    <row r="3839" spans="1:29">
      <c r="A3839">
        <v>3832</v>
      </c>
      <c r="B3839">
        <v>2310</v>
      </c>
      <c r="C3839" t="s">
        <v>5090</v>
      </c>
      <c r="D3839" t="s">
        <v>27</v>
      </c>
      <c r="E3839" t="s">
        <v>322</v>
      </c>
      <c r="F3839" t="s">
        <v>7833</v>
      </c>
      <c r="G3839" t="str">
        <f>"00755794"</f>
        <v>00755794</v>
      </c>
      <c r="H3839">
        <v>0</v>
      </c>
      <c r="I3839">
        <v>0</v>
      </c>
      <c r="K3839">
        <v>6</v>
      </c>
      <c r="M3839">
        <v>6</v>
      </c>
      <c r="N3839">
        <v>4</v>
      </c>
      <c r="O3839">
        <v>0</v>
      </c>
      <c r="P3839">
        <v>10</v>
      </c>
      <c r="Q3839">
        <v>0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0</v>
      </c>
      <c r="Y3839">
        <v>0</v>
      </c>
      <c r="Z3839">
        <v>6</v>
      </c>
      <c r="AA3839">
        <v>0</v>
      </c>
      <c r="AC3839">
        <v>16</v>
      </c>
    </row>
    <row r="3840" spans="1:29">
      <c r="A3840">
        <v>3833</v>
      </c>
      <c r="B3840">
        <v>2167</v>
      </c>
      <c r="C3840" t="s">
        <v>7831</v>
      </c>
      <c r="D3840" t="s">
        <v>205</v>
      </c>
      <c r="E3840" t="s">
        <v>564</v>
      </c>
      <c r="F3840" t="s">
        <v>7832</v>
      </c>
      <c r="G3840" t="str">
        <f>"00769604"</f>
        <v>00769604</v>
      </c>
      <c r="H3840">
        <v>0</v>
      </c>
      <c r="I3840">
        <v>0</v>
      </c>
      <c r="L3840">
        <v>4</v>
      </c>
      <c r="M3840">
        <v>4</v>
      </c>
      <c r="N3840">
        <v>4</v>
      </c>
      <c r="O3840">
        <v>2</v>
      </c>
      <c r="P3840">
        <v>10</v>
      </c>
      <c r="Q3840">
        <v>0</v>
      </c>
      <c r="R3840">
        <v>0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  <c r="Y3840">
        <v>0</v>
      </c>
      <c r="Z3840">
        <v>6</v>
      </c>
      <c r="AA3840">
        <v>0</v>
      </c>
      <c r="AC3840">
        <v>16</v>
      </c>
    </row>
    <row r="3841" spans="1:29">
      <c r="A3841">
        <v>3834</v>
      </c>
      <c r="B3841">
        <v>2292</v>
      </c>
      <c r="C3841" t="s">
        <v>163</v>
      </c>
      <c r="D3841" t="s">
        <v>95</v>
      </c>
      <c r="E3841" t="s">
        <v>187</v>
      </c>
      <c r="F3841" t="s">
        <v>7836</v>
      </c>
      <c r="G3841" t="str">
        <f>"00230441"</f>
        <v>00230441</v>
      </c>
      <c r="H3841">
        <v>0</v>
      </c>
      <c r="I3841">
        <v>0</v>
      </c>
      <c r="L3841">
        <v>4</v>
      </c>
      <c r="M3841">
        <v>4</v>
      </c>
      <c r="N3841">
        <v>4</v>
      </c>
      <c r="O3841">
        <v>0</v>
      </c>
      <c r="P3841">
        <v>8</v>
      </c>
      <c r="Q3841">
        <v>2</v>
      </c>
      <c r="R3841">
        <v>2</v>
      </c>
      <c r="S3841">
        <v>0</v>
      </c>
      <c r="T3841">
        <v>0</v>
      </c>
      <c r="U3841">
        <v>0</v>
      </c>
      <c r="V3841">
        <v>0</v>
      </c>
      <c r="W3841">
        <v>0</v>
      </c>
      <c r="X3841">
        <v>0</v>
      </c>
      <c r="Y3841">
        <v>2</v>
      </c>
      <c r="Z3841">
        <v>6</v>
      </c>
      <c r="AA3841">
        <v>0</v>
      </c>
      <c r="AC3841">
        <v>16</v>
      </c>
    </row>
    <row r="3842" spans="1:29">
      <c r="A3842">
        <v>3835</v>
      </c>
      <c r="B3842">
        <v>4270</v>
      </c>
      <c r="C3842" t="s">
        <v>4840</v>
      </c>
      <c r="D3842" t="s">
        <v>7837</v>
      </c>
      <c r="E3842" t="s">
        <v>237</v>
      </c>
      <c r="F3842" t="s">
        <v>7838</v>
      </c>
      <c r="G3842" t="str">
        <f>"00523878"</f>
        <v>00523878</v>
      </c>
      <c r="H3842">
        <v>0</v>
      </c>
      <c r="I3842">
        <v>0</v>
      </c>
      <c r="M3842">
        <v>0</v>
      </c>
      <c r="N3842">
        <v>4</v>
      </c>
      <c r="O3842">
        <v>2</v>
      </c>
      <c r="P3842">
        <v>6</v>
      </c>
      <c r="Q3842">
        <v>7</v>
      </c>
      <c r="R3842">
        <v>7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0</v>
      </c>
      <c r="Y3842">
        <v>7</v>
      </c>
      <c r="Z3842">
        <v>3</v>
      </c>
      <c r="AA3842">
        <v>0</v>
      </c>
      <c r="AC3842">
        <v>16</v>
      </c>
    </row>
    <row r="3843" spans="1:29">
      <c r="A3843">
        <v>3836</v>
      </c>
      <c r="B3843">
        <v>3300</v>
      </c>
      <c r="C3843" t="s">
        <v>4830</v>
      </c>
      <c r="D3843" t="s">
        <v>20</v>
      </c>
      <c r="E3843" t="s">
        <v>134</v>
      </c>
      <c r="F3843" t="s">
        <v>7839</v>
      </c>
      <c r="G3843" t="str">
        <f>"00633396"</f>
        <v>00633396</v>
      </c>
      <c r="H3843">
        <v>16</v>
      </c>
      <c r="I3843">
        <v>0</v>
      </c>
      <c r="M3843">
        <v>0</v>
      </c>
      <c r="N3843">
        <v>0</v>
      </c>
      <c r="O3843">
        <v>0</v>
      </c>
      <c r="P3843">
        <v>16</v>
      </c>
      <c r="Q3843">
        <v>0</v>
      </c>
      <c r="R3843">
        <v>0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0</v>
      </c>
      <c r="Y3843">
        <v>0</v>
      </c>
      <c r="Z3843">
        <v>0</v>
      </c>
      <c r="AA3843">
        <v>0</v>
      </c>
      <c r="AC3843">
        <v>16</v>
      </c>
    </row>
    <row r="3844" spans="1:29">
      <c r="A3844">
        <v>3837</v>
      </c>
      <c r="B3844">
        <v>4424</v>
      </c>
      <c r="C3844" t="s">
        <v>7840</v>
      </c>
      <c r="D3844" t="s">
        <v>39</v>
      </c>
      <c r="E3844" t="s">
        <v>224</v>
      </c>
      <c r="F3844" t="s">
        <v>7841</v>
      </c>
      <c r="G3844" t="str">
        <f>"00671859"</f>
        <v>00671859</v>
      </c>
      <c r="H3844">
        <v>16</v>
      </c>
      <c r="I3844">
        <v>0</v>
      </c>
      <c r="M3844">
        <v>0</v>
      </c>
      <c r="N3844">
        <v>0</v>
      </c>
      <c r="O3844">
        <v>0</v>
      </c>
      <c r="P3844">
        <v>16</v>
      </c>
      <c r="Q3844">
        <v>0</v>
      </c>
      <c r="R3844">
        <v>0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  <c r="Y3844">
        <v>0</v>
      </c>
      <c r="Z3844">
        <v>0</v>
      </c>
      <c r="AA3844">
        <v>0</v>
      </c>
      <c r="AC3844">
        <v>16</v>
      </c>
    </row>
    <row r="3845" spans="1:29">
      <c r="A3845">
        <v>3838</v>
      </c>
      <c r="B3845">
        <v>1520</v>
      </c>
      <c r="C3845" t="s">
        <v>1614</v>
      </c>
      <c r="D3845" t="s">
        <v>141</v>
      </c>
      <c r="E3845" t="s">
        <v>79</v>
      </c>
      <c r="F3845" t="s">
        <v>7842</v>
      </c>
      <c r="G3845" t="str">
        <f>"00803524"</f>
        <v>00803524</v>
      </c>
      <c r="H3845">
        <v>16</v>
      </c>
      <c r="I3845">
        <v>0</v>
      </c>
      <c r="M3845">
        <v>0</v>
      </c>
      <c r="N3845">
        <v>0</v>
      </c>
      <c r="O3845">
        <v>0</v>
      </c>
      <c r="P3845">
        <v>16</v>
      </c>
      <c r="Q3845">
        <v>0</v>
      </c>
      <c r="R3845">
        <v>0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0</v>
      </c>
      <c r="Y3845">
        <v>0</v>
      </c>
      <c r="Z3845">
        <v>0</v>
      </c>
      <c r="AA3845">
        <v>0</v>
      </c>
      <c r="AC3845">
        <v>16</v>
      </c>
    </row>
    <row r="3846" spans="1:29">
      <c r="A3846">
        <v>3839</v>
      </c>
      <c r="B3846">
        <v>4780</v>
      </c>
      <c r="C3846" t="s">
        <v>7843</v>
      </c>
      <c r="D3846" t="s">
        <v>134</v>
      </c>
      <c r="E3846" t="s">
        <v>28</v>
      </c>
      <c r="F3846" t="s">
        <v>7844</v>
      </c>
      <c r="G3846" t="str">
        <f>"00506945"</f>
        <v>00506945</v>
      </c>
      <c r="H3846">
        <v>0</v>
      </c>
      <c r="I3846">
        <v>10</v>
      </c>
      <c r="L3846">
        <v>4</v>
      </c>
      <c r="M3846">
        <v>4</v>
      </c>
      <c r="N3846">
        <v>0</v>
      </c>
      <c r="O3846">
        <v>2</v>
      </c>
      <c r="P3846">
        <v>16</v>
      </c>
      <c r="Q3846">
        <v>0</v>
      </c>
      <c r="R3846">
        <v>0</v>
      </c>
      <c r="S3846">
        <v>0</v>
      </c>
      <c r="T3846">
        <v>0</v>
      </c>
      <c r="U3846">
        <v>0</v>
      </c>
      <c r="V3846">
        <v>0</v>
      </c>
      <c r="W3846">
        <v>0</v>
      </c>
      <c r="X3846">
        <v>0</v>
      </c>
      <c r="Y3846">
        <v>0</v>
      </c>
      <c r="Z3846">
        <v>0</v>
      </c>
      <c r="AA3846">
        <v>0</v>
      </c>
      <c r="AC3846">
        <v>16</v>
      </c>
    </row>
    <row r="3847" spans="1:29">
      <c r="A3847">
        <v>3840</v>
      </c>
      <c r="B3847">
        <v>3411</v>
      </c>
      <c r="C3847" t="s">
        <v>7845</v>
      </c>
      <c r="D3847" t="s">
        <v>205</v>
      </c>
      <c r="E3847" t="s">
        <v>66</v>
      </c>
      <c r="F3847" t="s">
        <v>7846</v>
      </c>
      <c r="G3847" t="str">
        <f>"201108000074"</f>
        <v>201108000074</v>
      </c>
      <c r="H3847">
        <v>0</v>
      </c>
      <c r="I3847">
        <v>0</v>
      </c>
      <c r="M3847">
        <v>0</v>
      </c>
      <c r="N3847">
        <v>0</v>
      </c>
      <c r="O3847">
        <v>2</v>
      </c>
      <c r="P3847">
        <v>2</v>
      </c>
      <c r="Q3847">
        <v>14</v>
      </c>
      <c r="R3847">
        <v>14</v>
      </c>
      <c r="S3847">
        <v>0</v>
      </c>
      <c r="T3847">
        <v>0</v>
      </c>
      <c r="U3847">
        <v>0</v>
      </c>
      <c r="V3847">
        <v>0</v>
      </c>
      <c r="W3847">
        <v>0</v>
      </c>
      <c r="X3847">
        <v>0</v>
      </c>
      <c r="Y3847">
        <v>14</v>
      </c>
      <c r="Z3847">
        <v>0</v>
      </c>
      <c r="AA3847">
        <v>0</v>
      </c>
      <c r="AC3847">
        <v>16</v>
      </c>
    </row>
    <row r="3848" spans="1:29">
      <c r="A3848">
        <v>3841</v>
      </c>
      <c r="B3848">
        <v>3409</v>
      </c>
      <c r="C3848" t="s">
        <v>6569</v>
      </c>
      <c r="D3848" t="s">
        <v>27</v>
      </c>
      <c r="E3848" t="s">
        <v>18</v>
      </c>
      <c r="F3848" t="s">
        <v>7847</v>
      </c>
      <c r="G3848" t="str">
        <f>"00343388"</f>
        <v>00343388</v>
      </c>
      <c r="H3848">
        <v>15.64</v>
      </c>
      <c r="I3848">
        <v>0</v>
      </c>
      <c r="M3848">
        <v>0</v>
      </c>
      <c r="N3848">
        <v>0</v>
      </c>
      <c r="O3848">
        <v>0</v>
      </c>
      <c r="P3848">
        <v>15.64</v>
      </c>
      <c r="Q3848">
        <v>0</v>
      </c>
      <c r="R3848">
        <v>0</v>
      </c>
      <c r="S3848">
        <v>0</v>
      </c>
      <c r="T3848">
        <v>0</v>
      </c>
      <c r="U3848">
        <v>0</v>
      </c>
      <c r="V3848">
        <v>0</v>
      </c>
      <c r="W3848">
        <v>0</v>
      </c>
      <c r="X3848">
        <v>0</v>
      </c>
      <c r="Y3848">
        <v>0</v>
      </c>
      <c r="Z3848">
        <v>0</v>
      </c>
      <c r="AA3848">
        <v>0</v>
      </c>
      <c r="AC3848">
        <v>15.64</v>
      </c>
    </row>
    <row r="3849" spans="1:29">
      <c r="A3849">
        <v>3842</v>
      </c>
      <c r="B3849">
        <v>2527</v>
      </c>
      <c r="C3849" t="s">
        <v>7848</v>
      </c>
      <c r="D3849" t="s">
        <v>35</v>
      </c>
      <c r="E3849" t="s">
        <v>15</v>
      </c>
      <c r="F3849" t="s">
        <v>7849</v>
      </c>
      <c r="G3849" t="str">
        <f>"00864462"</f>
        <v>00864462</v>
      </c>
      <c r="H3849">
        <v>9.6</v>
      </c>
      <c r="I3849">
        <v>0</v>
      </c>
      <c r="M3849">
        <v>0</v>
      </c>
      <c r="N3849">
        <v>0</v>
      </c>
      <c r="O3849">
        <v>0</v>
      </c>
      <c r="P3849">
        <v>9.6</v>
      </c>
      <c r="Q3849">
        <v>0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0</v>
      </c>
      <c r="X3849">
        <v>0</v>
      </c>
      <c r="Y3849">
        <v>0</v>
      </c>
      <c r="Z3849">
        <v>6</v>
      </c>
      <c r="AA3849">
        <v>0</v>
      </c>
      <c r="AC3849">
        <v>15.6</v>
      </c>
    </row>
    <row r="3850" spans="1:29">
      <c r="A3850">
        <v>3843</v>
      </c>
      <c r="B3850">
        <v>2672</v>
      </c>
      <c r="C3850" t="s">
        <v>7850</v>
      </c>
      <c r="D3850" t="s">
        <v>52</v>
      </c>
      <c r="E3850" t="s">
        <v>122</v>
      </c>
      <c r="F3850" t="s">
        <v>7851</v>
      </c>
      <c r="G3850" t="str">
        <f>"00864946"</f>
        <v>00864946</v>
      </c>
      <c r="H3850">
        <v>11.44</v>
      </c>
      <c r="I3850">
        <v>0</v>
      </c>
      <c r="M3850">
        <v>0</v>
      </c>
      <c r="N3850">
        <v>4</v>
      </c>
      <c r="O3850">
        <v>0</v>
      </c>
      <c r="P3850">
        <v>15.44</v>
      </c>
      <c r="Q3850">
        <v>0</v>
      </c>
      <c r="R3850">
        <v>0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0</v>
      </c>
      <c r="Y3850">
        <v>0</v>
      </c>
      <c r="Z3850">
        <v>0</v>
      </c>
      <c r="AA3850">
        <v>0</v>
      </c>
      <c r="AC3850">
        <v>15.44</v>
      </c>
    </row>
    <row r="3851" spans="1:29">
      <c r="A3851">
        <v>3844</v>
      </c>
      <c r="B3851">
        <v>4698</v>
      </c>
      <c r="C3851" t="s">
        <v>7852</v>
      </c>
      <c r="D3851" t="s">
        <v>137</v>
      </c>
      <c r="E3851" t="s">
        <v>7853</v>
      </c>
      <c r="F3851" t="s">
        <v>7854</v>
      </c>
      <c r="G3851" t="str">
        <f>"00286579"</f>
        <v>00286579</v>
      </c>
      <c r="H3851">
        <v>11.28</v>
      </c>
      <c r="I3851">
        <v>0</v>
      </c>
      <c r="M3851">
        <v>0</v>
      </c>
      <c r="N3851">
        <v>4</v>
      </c>
      <c r="O3851">
        <v>0</v>
      </c>
      <c r="P3851">
        <v>15.28</v>
      </c>
      <c r="Q3851">
        <v>0</v>
      </c>
      <c r="R3851">
        <v>0</v>
      </c>
      <c r="S3851">
        <v>0</v>
      </c>
      <c r="T3851">
        <v>0</v>
      </c>
      <c r="U3851">
        <v>0</v>
      </c>
      <c r="V3851">
        <v>0</v>
      </c>
      <c r="W3851">
        <v>0</v>
      </c>
      <c r="X3851">
        <v>0</v>
      </c>
      <c r="Y3851">
        <v>0</v>
      </c>
      <c r="Z3851">
        <v>0</v>
      </c>
      <c r="AA3851">
        <v>0</v>
      </c>
      <c r="AC3851">
        <v>15.28</v>
      </c>
    </row>
    <row r="3852" spans="1:29">
      <c r="A3852">
        <v>3845</v>
      </c>
      <c r="B3852">
        <v>2837</v>
      </c>
      <c r="C3852" t="s">
        <v>966</v>
      </c>
      <c r="D3852" t="s">
        <v>3818</v>
      </c>
      <c r="E3852" t="s">
        <v>36</v>
      </c>
      <c r="F3852" t="s">
        <v>7857</v>
      </c>
      <c r="G3852" t="str">
        <f>"00495843"</f>
        <v>00495843</v>
      </c>
      <c r="H3852">
        <v>15.2</v>
      </c>
      <c r="I3852">
        <v>0</v>
      </c>
      <c r="M3852">
        <v>0</v>
      </c>
      <c r="N3852">
        <v>0</v>
      </c>
      <c r="O3852">
        <v>0</v>
      </c>
      <c r="P3852">
        <v>15.2</v>
      </c>
      <c r="Q3852">
        <v>0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  <c r="Y3852">
        <v>0</v>
      </c>
      <c r="Z3852">
        <v>0</v>
      </c>
      <c r="AA3852">
        <v>0</v>
      </c>
      <c r="AC3852">
        <v>15.2</v>
      </c>
    </row>
    <row r="3853" spans="1:29">
      <c r="A3853">
        <v>3846</v>
      </c>
      <c r="B3853">
        <v>311</v>
      </c>
      <c r="C3853" t="s">
        <v>3656</v>
      </c>
      <c r="D3853" t="s">
        <v>52</v>
      </c>
      <c r="E3853" t="s">
        <v>15</v>
      </c>
      <c r="F3853" t="s">
        <v>7858</v>
      </c>
      <c r="G3853" t="str">
        <f>"00857689"</f>
        <v>00857689</v>
      </c>
      <c r="H3853">
        <v>15.2</v>
      </c>
      <c r="I3853">
        <v>0</v>
      </c>
      <c r="M3853">
        <v>0</v>
      </c>
      <c r="N3853">
        <v>0</v>
      </c>
      <c r="O3853">
        <v>0</v>
      </c>
      <c r="P3853">
        <v>15.2</v>
      </c>
      <c r="Q3853">
        <v>0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  <c r="Y3853">
        <v>0</v>
      </c>
      <c r="Z3853">
        <v>0</v>
      </c>
      <c r="AA3853">
        <v>0</v>
      </c>
      <c r="AC3853">
        <v>15.2</v>
      </c>
    </row>
    <row r="3854" spans="1:29">
      <c r="A3854">
        <v>3847</v>
      </c>
      <c r="B3854">
        <v>705</v>
      </c>
      <c r="C3854" t="s">
        <v>7855</v>
      </c>
      <c r="D3854" t="s">
        <v>216</v>
      </c>
      <c r="E3854" t="s">
        <v>237</v>
      </c>
      <c r="F3854" t="s">
        <v>7856</v>
      </c>
      <c r="G3854" t="str">
        <f>"00856262"</f>
        <v>00856262</v>
      </c>
      <c r="H3854">
        <v>15.2</v>
      </c>
      <c r="I3854">
        <v>0</v>
      </c>
      <c r="M3854">
        <v>0</v>
      </c>
      <c r="N3854">
        <v>0</v>
      </c>
      <c r="O3854">
        <v>0</v>
      </c>
      <c r="P3854">
        <v>15.2</v>
      </c>
      <c r="Q3854">
        <v>0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0</v>
      </c>
      <c r="Y3854">
        <v>0</v>
      </c>
      <c r="Z3854">
        <v>0</v>
      </c>
      <c r="AA3854">
        <v>0</v>
      </c>
      <c r="AC3854">
        <v>15.2</v>
      </c>
    </row>
    <row r="3855" spans="1:29">
      <c r="A3855">
        <v>3848</v>
      </c>
      <c r="B3855">
        <v>4579</v>
      </c>
      <c r="C3855" t="s">
        <v>7859</v>
      </c>
      <c r="D3855" t="s">
        <v>164</v>
      </c>
      <c r="E3855" t="s">
        <v>36</v>
      </c>
      <c r="F3855" t="s">
        <v>7860</v>
      </c>
      <c r="G3855" t="str">
        <f>"00071249"</f>
        <v>00071249</v>
      </c>
      <c r="H3855">
        <v>11.2</v>
      </c>
      <c r="I3855">
        <v>0</v>
      </c>
      <c r="L3855">
        <v>4</v>
      </c>
      <c r="M3855">
        <v>4</v>
      </c>
      <c r="N3855">
        <v>0</v>
      </c>
      <c r="O3855">
        <v>0</v>
      </c>
      <c r="P3855">
        <v>15.2</v>
      </c>
      <c r="Q3855">
        <v>0</v>
      </c>
      <c r="R3855">
        <v>0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0</v>
      </c>
      <c r="Y3855">
        <v>0</v>
      </c>
      <c r="Z3855">
        <v>0</v>
      </c>
      <c r="AA3855">
        <v>0</v>
      </c>
      <c r="AC3855">
        <v>15.2</v>
      </c>
    </row>
    <row r="3856" spans="1:29">
      <c r="A3856">
        <v>3849</v>
      </c>
      <c r="B3856">
        <v>3758</v>
      </c>
      <c r="C3856" t="s">
        <v>6157</v>
      </c>
      <c r="D3856" t="s">
        <v>336</v>
      </c>
      <c r="E3856" t="s">
        <v>581</v>
      </c>
      <c r="F3856" t="s">
        <v>7866</v>
      </c>
      <c r="G3856" t="str">
        <f>"201511026110"</f>
        <v>201511026110</v>
      </c>
      <c r="H3856">
        <v>7.2</v>
      </c>
      <c r="I3856">
        <v>0</v>
      </c>
      <c r="L3856">
        <v>4</v>
      </c>
      <c r="M3856">
        <v>4</v>
      </c>
      <c r="N3856">
        <v>4</v>
      </c>
      <c r="O3856">
        <v>0</v>
      </c>
      <c r="P3856">
        <v>15.2</v>
      </c>
      <c r="Q3856">
        <v>0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0</v>
      </c>
      <c r="Y3856">
        <v>0</v>
      </c>
      <c r="Z3856">
        <v>0</v>
      </c>
      <c r="AA3856">
        <v>0</v>
      </c>
      <c r="AC3856">
        <v>15.2</v>
      </c>
    </row>
    <row r="3857" spans="1:29">
      <c r="A3857">
        <v>3850</v>
      </c>
      <c r="B3857">
        <v>65</v>
      </c>
      <c r="C3857" t="s">
        <v>7868</v>
      </c>
      <c r="D3857" t="s">
        <v>134</v>
      </c>
      <c r="E3857" t="s">
        <v>79</v>
      </c>
      <c r="F3857" t="s">
        <v>7869</v>
      </c>
      <c r="G3857" t="str">
        <f>"00083441"</f>
        <v>00083441</v>
      </c>
      <c r="H3857">
        <v>7.2</v>
      </c>
      <c r="I3857">
        <v>0</v>
      </c>
      <c r="L3857">
        <v>4</v>
      </c>
      <c r="M3857">
        <v>4</v>
      </c>
      <c r="N3857">
        <v>4</v>
      </c>
      <c r="O3857">
        <v>0</v>
      </c>
      <c r="P3857">
        <v>15.2</v>
      </c>
      <c r="Q3857">
        <v>0</v>
      </c>
      <c r="R3857">
        <v>0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0</v>
      </c>
      <c r="Y3857">
        <v>0</v>
      </c>
      <c r="Z3857">
        <v>0</v>
      </c>
      <c r="AA3857">
        <v>0</v>
      </c>
      <c r="AC3857">
        <v>15.2</v>
      </c>
    </row>
    <row r="3858" spans="1:29">
      <c r="A3858">
        <v>3851</v>
      </c>
      <c r="B3858">
        <v>2311</v>
      </c>
      <c r="C3858" t="s">
        <v>7864</v>
      </c>
      <c r="D3858" t="s">
        <v>130</v>
      </c>
      <c r="E3858" t="s">
        <v>32</v>
      </c>
      <c r="F3858" t="s">
        <v>7865</v>
      </c>
      <c r="G3858" t="str">
        <f>"00530011"</f>
        <v>00530011</v>
      </c>
      <c r="H3858">
        <v>7.2</v>
      </c>
      <c r="I3858">
        <v>0</v>
      </c>
      <c r="L3858">
        <v>4</v>
      </c>
      <c r="M3858">
        <v>4</v>
      </c>
      <c r="N3858">
        <v>4</v>
      </c>
      <c r="O3858">
        <v>0</v>
      </c>
      <c r="P3858">
        <v>15.2</v>
      </c>
      <c r="Q3858">
        <v>0</v>
      </c>
      <c r="R3858">
        <v>0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0</v>
      </c>
      <c r="Y3858">
        <v>0</v>
      </c>
      <c r="Z3858">
        <v>0</v>
      </c>
      <c r="AA3858">
        <v>0</v>
      </c>
      <c r="AC3858">
        <v>15.2</v>
      </c>
    </row>
    <row r="3859" spans="1:29">
      <c r="A3859">
        <v>3852</v>
      </c>
      <c r="B3859">
        <v>4447</v>
      </c>
      <c r="C3859" t="s">
        <v>7861</v>
      </c>
      <c r="D3859" t="s">
        <v>1278</v>
      </c>
      <c r="E3859" t="s">
        <v>18</v>
      </c>
      <c r="F3859" t="s">
        <v>7862</v>
      </c>
      <c r="G3859" t="str">
        <f>"00514218"</f>
        <v>00514218</v>
      </c>
      <c r="H3859">
        <v>7.2</v>
      </c>
      <c r="I3859">
        <v>0</v>
      </c>
      <c r="L3859">
        <v>4</v>
      </c>
      <c r="M3859">
        <v>4</v>
      </c>
      <c r="N3859">
        <v>4</v>
      </c>
      <c r="O3859">
        <v>0</v>
      </c>
      <c r="P3859">
        <v>15.2</v>
      </c>
      <c r="Q3859">
        <v>0</v>
      </c>
      <c r="R3859">
        <v>0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0</v>
      </c>
      <c r="Y3859">
        <v>0</v>
      </c>
      <c r="Z3859">
        <v>0</v>
      </c>
      <c r="AA3859">
        <v>0</v>
      </c>
      <c r="AC3859">
        <v>15.2</v>
      </c>
    </row>
    <row r="3860" spans="1:29">
      <c r="A3860">
        <v>3853</v>
      </c>
      <c r="B3860">
        <v>2109</v>
      </c>
      <c r="C3860" t="s">
        <v>6016</v>
      </c>
      <c r="D3860" t="s">
        <v>39</v>
      </c>
      <c r="E3860" t="s">
        <v>777</v>
      </c>
      <c r="F3860" t="s">
        <v>7863</v>
      </c>
      <c r="G3860" t="str">
        <f>"00628164"</f>
        <v>00628164</v>
      </c>
      <c r="H3860">
        <v>7.2</v>
      </c>
      <c r="I3860">
        <v>0</v>
      </c>
      <c r="L3860">
        <v>4</v>
      </c>
      <c r="M3860">
        <v>4</v>
      </c>
      <c r="N3860">
        <v>4</v>
      </c>
      <c r="O3860">
        <v>0</v>
      </c>
      <c r="P3860">
        <v>15.2</v>
      </c>
      <c r="Q3860">
        <v>0</v>
      </c>
      <c r="R3860">
        <v>0</v>
      </c>
      <c r="S3860">
        <v>0</v>
      </c>
      <c r="T3860">
        <v>0</v>
      </c>
      <c r="U3860">
        <v>0</v>
      </c>
      <c r="V3860">
        <v>0</v>
      </c>
      <c r="W3860">
        <v>0</v>
      </c>
      <c r="X3860">
        <v>0</v>
      </c>
      <c r="Y3860">
        <v>0</v>
      </c>
      <c r="Z3860">
        <v>0</v>
      </c>
      <c r="AA3860">
        <v>0</v>
      </c>
      <c r="AC3860">
        <v>15.2</v>
      </c>
    </row>
    <row r="3861" spans="1:29">
      <c r="A3861">
        <v>3854</v>
      </c>
      <c r="B3861">
        <v>2257</v>
      </c>
      <c r="C3861" t="s">
        <v>3888</v>
      </c>
      <c r="D3861" t="s">
        <v>17</v>
      </c>
      <c r="E3861" t="s">
        <v>134</v>
      </c>
      <c r="F3861" t="s">
        <v>7867</v>
      </c>
      <c r="G3861" t="str">
        <f>"00338350"</f>
        <v>00338350</v>
      </c>
      <c r="H3861">
        <v>7.2</v>
      </c>
      <c r="I3861">
        <v>0</v>
      </c>
      <c r="L3861">
        <v>4</v>
      </c>
      <c r="M3861">
        <v>4</v>
      </c>
      <c r="N3861">
        <v>4</v>
      </c>
      <c r="O3861">
        <v>0</v>
      </c>
      <c r="P3861">
        <v>15.2</v>
      </c>
      <c r="Q3861">
        <v>0</v>
      </c>
      <c r="R3861">
        <v>0</v>
      </c>
      <c r="S3861">
        <v>0</v>
      </c>
      <c r="T3861">
        <v>0</v>
      </c>
      <c r="U3861">
        <v>0</v>
      </c>
      <c r="V3861">
        <v>0</v>
      </c>
      <c r="W3861">
        <v>0</v>
      </c>
      <c r="X3861">
        <v>0</v>
      </c>
      <c r="Y3861">
        <v>0</v>
      </c>
      <c r="Z3861">
        <v>0</v>
      </c>
      <c r="AA3861">
        <v>0</v>
      </c>
      <c r="AC3861">
        <v>15.2</v>
      </c>
    </row>
    <row r="3862" spans="1:29">
      <c r="A3862">
        <v>3855</v>
      </c>
      <c r="B3862">
        <v>4726</v>
      </c>
      <c r="C3862" t="s">
        <v>7872</v>
      </c>
      <c r="D3862" t="s">
        <v>39</v>
      </c>
      <c r="E3862" t="s">
        <v>18</v>
      </c>
      <c r="F3862" t="s">
        <v>7873</v>
      </c>
      <c r="G3862" t="str">
        <f>"00381350"</f>
        <v>00381350</v>
      </c>
      <c r="H3862">
        <v>12</v>
      </c>
      <c r="I3862">
        <v>0</v>
      </c>
      <c r="M3862">
        <v>0</v>
      </c>
      <c r="N3862">
        <v>0</v>
      </c>
      <c r="O3862">
        <v>0</v>
      </c>
      <c r="P3862">
        <v>12</v>
      </c>
      <c r="Q3862">
        <v>0</v>
      </c>
      <c r="R3862">
        <v>0</v>
      </c>
      <c r="S3862">
        <v>0</v>
      </c>
      <c r="T3862">
        <v>0</v>
      </c>
      <c r="U3862">
        <v>0</v>
      </c>
      <c r="V3862">
        <v>0</v>
      </c>
      <c r="W3862">
        <v>0</v>
      </c>
      <c r="X3862">
        <v>0</v>
      </c>
      <c r="Y3862">
        <v>0</v>
      </c>
      <c r="Z3862">
        <v>3</v>
      </c>
      <c r="AA3862">
        <v>0</v>
      </c>
      <c r="AC3862">
        <v>15</v>
      </c>
    </row>
    <row r="3863" spans="1:29">
      <c r="A3863">
        <v>3856</v>
      </c>
      <c r="B3863">
        <v>1736</v>
      </c>
      <c r="C3863" t="s">
        <v>7870</v>
      </c>
      <c r="D3863" t="s">
        <v>2378</v>
      </c>
      <c r="E3863" t="s">
        <v>115</v>
      </c>
      <c r="F3863" t="s">
        <v>7871</v>
      </c>
      <c r="G3863" t="str">
        <f>"00520150"</f>
        <v>00520150</v>
      </c>
      <c r="H3863">
        <v>12</v>
      </c>
      <c r="I3863">
        <v>0</v>
      </c>
      <c r="M3863">
        <v>0</v>
      </c>
      <c r="N3863">
        <v>0</v>
      </c>
      <c r="O3863">
        <v>0</v>
      </c>
      <c r="P3863">
        <v>12</v>
      </c>
      <c r="Q3863">
        <v>0</v>
      </c>
      <c r="R3863">
        <v>0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0</v>
      </c>
      <c r="Y3863">
        <v>0</v>
      </c>
      <c r="Z3863">
        <v>3</v>
      </c>
      <c r="AA3863">
        <v>0</v>
      </c>
      <c r="AC3863">
        <v>15</v>
      </c>
    </row>
    <row r="3864" spans="1:29">
      <c r="A3864">
        <v>3857</v>
      </c>
      <c r="B3864">
        <v>789</v>
      </c>
      <c r="C3864" t="s">
        <v>7876</v>
      </c>
      <c r="D3864" t="s">
        <v>7877</v>
      </c>
      <c r="E3864" t="s">
        <v>7878</v>
      </c>
      <c r="F3864" t="s">
        <v>7879</v>
      </c>
      <c r="G3864" t="str">
        <f>"00790113"</f>
        <v>00790113</v>
      </c>
      <c r="H3864">
        <v>0</v>
      </c>
      <c r="I3864">
        <v>0</v>
      </c>
      <c r="L3864">
        <v>8</v>
      </c>
      <c r="M3864">
        <v>8</v>
      </c>
      <c r="N3864">
        <v>4</v>
      </c>
      <c r="O3864">
        <v>0</v>
      </c>
      <c r="P3864">
        <v>12</v>
      </c>
      <c r="Q3864">
        <v>0</v>
      </c>
      <c r="R3864">
        <v>0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0</v>
      </c>
      <c r="Y3864">
        <v>0</v>
      </c>
      <c r="Z3864">
        <v>3</v>
      </c>
      <c r="AA3864">
        <v>0</v>
      </c>
      <c r="AC3864">
        <v>15</v>
      </c>
    </row>
    <row r="3865" spans="1:29">
      <c r="A3865">
        <v>3858</v>
      </c>
      <c r="B3865">
        <v>13</v>
      </c>
      <c r="C3865" t="s">
        <v>7874</v>
      </c>
      <c r="D3865" t="s">
        <v>170</v>
      </c>
      <c r="E3865" t="s">
        <v>187</v>
      </c>
      <c r="F3865" t="s">
        <v>7875</v>
      </c>
      <c r="G3865" t="str">
        <f>"00679695"</f>
        <v>00679695</v>
      </c>
      <c r="H3865">
        <v>0</v>
      </c>
      <c r="I3865">
        <v>0</v>
      </c>
      <c r="J3865">
        <v>8</v>
      </c>
      <c r="M3865">
        <v>8</v>
      </c>
      <c r="N3865">
        <v>4</v>
      </c>
      <c r="O3865">
        <v>0</v>
      </c>
      <c r="P3865">
        <v>12</v>
      </c>
      <c r="Q3865">
        <v>0</v>
      </c>
      <c r="R3865">
        <v>0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0</v>
      </c>
      <c r="Y3865">
        <v>0</v>
      </c>
      <c r="Z3865">
        <v>3</v>
      </c>
      <c r="AA3865">
        <v>0</v>
      </c>
      <c r="AC3865">
        <v>15</v>
      </c>
    </row>
    <row r="3866" spans="1:29">
      <c r="A3866">
        <v>3859</v>
      </c>
      <c r="B3866">
        <v>2649</v>
      </c>
      <c r="C3866" t="s">
        <v>7880</v>
      </c>
      <c r="D3866" t="s">
        <v>24</v>
      </c>
      <c r="E3866" t="s">
        <v>18</v>
      </c>
      <c r="F3866" t="s">
        <v>7881</v>
      </c>
      <c r="G3866" t="str">
        <f>"00532978"</f>
        <v>00532978</v>
      </c>
      <c r="H3866">
        <v>0</v>
      </c>
      <c r="I3866">
        <v>0</v>
      </c>
      <c r="M3866">
        <v>0</v>
      </c>
      <c r="N3866">
        <v>4</v>
      </c>
      <c r="O3866">
        <v>0</v>
      </c>
      <c r="P3866">
        <v>4</v>
      </c>
      <c r="Q3866">
        <v>11</v>
      </c>
      <c r="R3866">
        <v>11</v>
      </c>
      <c r="S3866">
        <v>0</v>
      </c>
      <c r="T3866">
        <v>0</v>
      </c>
      <c r="U3866">
        <v>0</v>
      </c>
      <c r="V3866">
        <v>0</v>
      </c>
      <c r="W3866">
        <v>0</v>
      </c>
      <c r="X3866">
        <v>0</v>
      </c>
      <c r="Y3866">
        <v>11</v>
      </c>
      <c r="Z3866">
        <v>0</v>
      </c>
      <c r="AA3866">
        <v>0</v>
      </c>
      <c r="AC3866">
        <v>15</v>
      </c>
    </row>
    <row r="3867" spans="1:29">
      <c r="A3867">
        <v>3860</v>
      </c>
      <c r="B3867">
        <v>4464</v>
      </c>
      <c r="C3867" t="s">
        <v>7313</v>
      </c>
      <c r="D3867" t="s">
        <v>510</v>
      </c>
      <c r="E3867" t="s">
        <v>79</v>
      </c>
      <c r="F3867" t="s">
        <v>7882</v>
      </c>
      <c r="G3867" t="str">
        <f>"00863024"</f>
        <v>00863024</v>
      </c>
      <c r="H3867">
        <v>8.9600000000000009</v>
      </c>
      <c r="I3867">
        <v>0</v>
      </c>
      <c r="M3867">
        <v>0</v>
      </c>
      <c r="N3867">
        <v>0</v>
      </c>
      <c r="O3867">
        <v>0</v>
      </c>
      <c r="P3867">
        <v>8.9600000000000009</v>
      </c>
      <c r="Q3867">
        <v>0</v>
      </c>
      <c r="R3867">
        <v>0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0</v>
      </c>
      <c r="Y3867">
        <v>0</v>
      </c>
      <c r="Z3867">
        <v>6</v>
      </c>
      <c r="AA3867">
        <v>0</v>
      </c>
      <c r="AC3867">
        <v>14.96</v>
      </c>
    </row>
    <row r="3868" spans="1:29">
      <c r="A3868">
        <v>3861</v>
      </c>
      <c r="B3868">
        <v>2403</v>
      </c>
      <c r="C3868" t="s">
        <v>1067</v>
      </c>
      <c r="D3868" t="s">
        <v>49</v>
      </c>
      <c r="E3868" t="s">
        <v>337</v>
      </c>
      <c r="F3868" t="s">
        <v>7883</v>
      </c>
      <c r="G3868" t="str">
        <f>"00705220"</f>
        <v>00705220</v>
      </c>
      <c r="H3868">
        <v>14.92</v>
      </c>
      <c r="I3868">
        <v>0</v>
      </c>
      <c r="M3868">
        <v>0</v>
      </c>
      <c r="N3868">
        <v>0</v>
      </c>
      <c r="O3868">
        <v>0</v>
      </c>
      <c r="P3868">
        <v>14.92</v>
      </c>
      <c r="Q3868">
        <v>0</v>
      </c>
      <c r="R3868">
        <v>0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  <c r="Y3868">
        <v>0</v>
      </c>
      <c r="Z3868">
        <v>0</v>
      </c>
      <c r="AA3868">
        <v>0</v>
      </c>
      <c r="AC3868">
        <v>14.92</v>
      </c>
    </row>
    <row r="3869" spans="1:29">
      <c r="A3869">
        <v>3862</v>
      </c>
      <c r="B3869">
        <v>2158</v>
      </c>
      <c r="C3869" t="s">
        <v>794</v>
      </c>
      <c r="D3869" t="s">
        <v>24</v>
      </c>
      <c r="E3869" t="s">
        <v>777</v>
      </c>
      <c r="F3869" t="s">
        <v>7884</v>
      </c>
      <c r="G3869" t="str">
        <f>"00480332"</f>
        <v>00480332</v>
      </c>
      <c r="H3869">
        <v>14.8</v>
      </c>
      <c r="I3869">
        <v>0</v>
      </c>
      <c r="M3869">
        <v>0</v>
      </c>
      <c r="N3869">
        <v>0</v>
      </c>
      <c r="O3869">
        <v>0</v>
      </c>
      <c r="P3869">
        <v>14.8</v>
      </c>
      <c r="Q3869">
        <v>0</v>
      </c>
      <c r="R3869">
        <v>0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0</v>
      </c>
      <c r="Y3869">
        <v>0</v>
      </c>
      <c r="Z3869">
        <v>0</v>
      </c>
      <c r="AA3869">
        <v>0</v>
      </c>
      <c r="AC3869">
        <v>14.8</v>
      </c>
    </row>
    <row r="3870" spans="1:29">
      <c r="A3870">
        <v>3863</v>
      </c>
      <c r="B3870">
        <v>2406</v>
      </c>
      <c r="C3870" t="s">
        <v>7885</v>
      </c>
      <c r="D3870" t="s">
        <v>784</v>
      </c>
      <c r="E3870" t="s">
        <v>15</v>
      </c>
      <c r="F3870" t="s">
        <v>7886</v>
      </c>
      <c r="G3870" t="str">
        <f>"00864836"</f>
        <v>00864836</v>
      </c>
      <c r="H3870">
        <v>14.68</v>
      </c>
      <c r="I3870">
        <v>0</v>
      </c>
      <c r="M3870">
        <v>0</v>
      </c>
      <c r="N3870">
        <v>0</v>
      </c>
      <c r="O3870">
        <v>0</v>
      </c>
      <c r="P3870">
        <v>14.68</v>
      </c>
      <c r="Q3870">
        <v>0</v>
      </c>
      <c r="R3870">
        <v>0</v>
      </c>
      <c r="S3870">
        <v>0</v>
      </c>
      <c r="T3870">
        <v>0</v>
      </c>
      <c r="U3870">
        <v>0</v>
      </c>
      <c r="V3870">
        <v>0</v>
      </c>
      <c r="W3870">
        <v>0</v>
      </c>
      <c r="X3870">
        <v>0</v>
      </c>
      <c r="Y3870">
        <v>0</v>
      </c>
      <c r="Z3870">
        <v>0</v>
      </c>
      <c r="AA3870">
        <v>0</v>
      </c>
      <c r="AC3870">
        <v>14.68</v>
      </c>
    </row>
    <row r="3871" spans="1:29">
      <c r="A3871">
        <v>3864</v>
      </c>
      <c r="B3871">
        <v>2278</v>
      </c>
      <c r="C3871" t="s">
        <v>6247</v>
      </c>
      <c r="D3871" t="s">
        <v>7902</v>
      </c>
      <c r="E3871" t="s">
        <v>66</v>
      </c>
      <c r="F3871" t="s">
        <v>7903</v>
      </c>
      <c r="G3871" t="str">
        <f>"00863937"</f>
        <v>00863937</v>
      </c>
      <c r="H3871">
        <v>14.4</v>
      </c>
      <c r="I3871">
        <v>0</v>
      </c>
      <c r="M3871">
        <v>0</v>
      </c>
      <c r="N3871">
        <v>0</v>
      </c>
      <c r="O3871">
        <v>0</v>
      </c>
      <c r="P3871">
        <v>14.4</v>
      </c>
      <c r="Q3871">
        <v>0</v>
      </c>
      <c r="R3871">
        <v>0</v>
      </c>
      <c r="S3871">
        <v>0</v>
      </c>
      <c r="T3871">
        <v>0</v>
      </c>
      <c r="U3871">
        <v>0</v>
      </c>
      <c r="V3871">
        <v>0</v>
      </c>
      <c r="W3871">
        <v>0</v>
      </c>
      <c r="X3871">
        <v>0</v>
      </c>
      <c r="Y3871">
        <v>0</v>
      </c>
      <c r="Z3871">
        <v>0</v>
      </c>
      <c r="AA3871">
        <v>0</v>
      </c>
      <c r="AC3871">
        <v>14.4</v>
      </c>
    </row>
    <row r="3872" spans="1:29">
      <c r="A3872">
        <v>3865</v>
      </c>
      <c r="B3872">
        <v>1565</v>
      </c>
      <c r="C3872" t="s">
        <v>840</v>
      </c>
      <c r="D3872" t="s">
        <v>7900</v>
      </c>
      <c r="E3872" t="s">
        <v>3007</v>
      </c>
      <c r="F3872" t="s">
        <v>7901</v>
      </c>
      <c r="G3872" t="str">
        <f>"00546624"</f>
        <v>00546624</v>
      </c>
      <c r="H3872">
        <v>14.4</v>
      </c>
      <c r="I3872">
        <v>0</v>
      </c>
      <c r="M3872">
        <v>0</v>
      </c>
      <c r="N3872">
        <v>0</v>
      </c>
      <c r="O3872">
        <v>0</v>
      </c>
      <c r="P3872">
        <v>14.4</v>
      </c>
      <c r="Q3872">
        <v>0</v>
      </c>
      <c r="R3872">
        <v>0</v>
      </c>
      <c r="S3872">
        <v>0</v>
      </c>
      <c r="T3872">
        <v>0</v>
      </c>
      <c r="U3872">
        <v>0</v>
      </c>
      <c r="V3872">
        <v>0</v>
      </c>
      <c r="W3872">
        <v>0</v>
      </c>
      <c r="X3872">
        <v>0</v>
      </c>
      <c r="Y3872">
        <v>0</v>
      </c>
      <c r="Z3872">
        <v>0</v>
      </c>
      <c r="AA3872">
        <v>0</v>
      </c>
      <c r="AC3872">
        <v>14.4</v>
      </c>
    </row>
    <row r="3873" spans="1:29">
      <c r="A3873">
        <v>3866</v>
      </c>
      <c r="B3873">
        <v>2327</v>
      </c>
      <c r="C3873" t="s">
        <v>3813</v>
      </c>
      <c r="D3873" t="s">
        <v>24</v>
      </c>
      <c r="E3873" t="s">
        <v>18</v>
      </c>
      <c r="F3873" t="s">
        <v>7916</v>
      </c>
      <c r="G3873" t="str">
        <f>"00858539"</f>
        <v>00858539</v>
      </c>
      <c r="H3873">
        <v>14.4</v>
      </c>
      <c r="I3873">
        <v>0</v>
      </c>
      <c r="M3873">
        <v>0</v>
      </c>
      <c r="N3873">
        <v>0</v>
      </c>
      <c r="O3873">
        <v>0</v>
      </c>
      <c r="P3873">
        <v>14.4</v>
      </c>
      <c r="Q3873">
        <v>0</v>
      </c>
      <c r="R3873">
        <v>0</v>
      </c>
      <c r="S3873">
        <v>0</v>
      </c>
      <c r="T3873">
        <v>0</v>
      </c>
      <c r="U3873">
        <v>0</v>
      </c>
      <c r="V3873">
        <v>0</v>
      </c>
      <c r="W3873">
        <v>0</v>
      </c>
      <c r="X3873">
        <v>0</v>
      </c>
      <c r="Y3873">
        <v>0</v>
      </c>
      <c r="Z3873">
        <v>0</v>
      </c>
      <c r="AA3873">
        <v>0</v>
      </c>
      <c r="AC3873">
        <v>14.4</v>
      </c>
    </row>
    <row r="3874" spans="1:29">
      <c r="A3874">
        <v>3867</v>
      </c>
      <c r="B3874">
        <v>3430</v>
      </c>
      <c r="C3874" t="s">
        <v>7896</v>
      </c>
      <c r="D3874" t="s">
        <v>448</v>
      </c>
      <c r="E3874" t="s">
        <v>134</v>
      </c>
      <c r="F3874" t="s">
        <v>7897</v>
      </c>
      <c r="G3874" t="str">
        <f>"00862902"</f>
        <v>00862902</v>
      </c>
      <c r="H3874">
        <v>14.4</v>
      </c>
      <c r="I3874">
        <v>0</v>
      </c>
      <c r="M3874">
        <v>0</v>
      </c>
      <c r="N3874">
        <v>0</v>
      </c>
      <c r="O3874">
        <v>0</v>
      </c>
      <c r="P3874">
        <v>14.4</v>
      </c>
      <c r="Q3874">
        <v>0</v>
      </c>
      <c r="R3874">
        <v>0</v>
      </c>
      <c r="S3874">
        <v>0</v>
      </c>
      <c r="T3874">
        <v>0</v>
      </c>
      <c r="U3874">
        <v>0</v>
      </c>
      <c r="V3874">
        <v>0</v>
      </c>
      <c r="W3874">
        <v>0</v>
      </c>
      <c r="X3874">
        <v>0</v>
      </c>
      <c r="Y3874">
        <v>0</v>
      </c>
      <c r="Z3874">
        <v>0</v>
      </c>
      <c r="AA3874">
        <v>0</v>
      </c>
      <c r="AC3874">
        <v>14.4</v>
      </c>
    </row>
    <row r="3875" spans="1:29">
      <c r="A3875">
        <v>3868</v>
      </c>
      <c r="B3875">
        <v>1945</v>
      </c>
      <c r="C3875" t="s">
        <v>7891</v>
      </c>
      <c r="D3875" t="s">
        <v>52</v>
      </c>
      <c r="E3875" t="s">
        <v>60</v>
      </c>
      <c r="F3875" t="s">
        <v>7892</v>
      </c>
      <c r="G3875" t="str">
        <f>"00822492"</f>
        <v>00822492</v>
      </c>
      <c r="H3875">
        <v>14.4</v>
      </c>
      <c r="I3875">
        <v>0</v>
      </c>
      <c r="M3875">
        <v>0</v>
      </c>
      <c r="N3875">
        <v>0</v>
      </c>
      <c r="O3875">
        <v>0</v>
      </c>
      <c r="P3875">
        <v>14.4</v>
      </c>
      <c r="Q3875">
        <v>0</v>
      </c>
      <c r="R3875">
        <v>0</v>
      </c>
      <c r="S3875">
        <v>0</v>
      </c>
      <c r="T3875">
        <v>0</v>
      </c>
      <c r="U3875">
        <v>0</v>
      </c>
      <c r="V3875">
        <v>0</v>
      </c>
      <c r="W3875">
        <v>0</v>
      </c>
      <c r="X3875">
        <v>0</v>
      </c>
      <c r="Y3875">
        <v>0</v>
      </c>
      <c r="Z3875">
        <v>0</v>
      </c>
      <c r="AA3875">
        <v>0</v>
      </c>
      <c r="AC3875">
        <v>14.4</v>
      </c>
    </row>
    <row r="3876" spans="1:29">
      <c r="A3876">
        <v>3869</v>
      </c>
      <c r="B3876">
        <v>3284</v>
      </c>
      <c r="C3876" t="s">
        <v>4560</v>
      </c>
      <c r="D3876" t="s">
        <v>7907</v>
      </c>
      <c r="E3876" t="s">
        <v>36</v>
      </c>
      <c r="F3876" t="s">
        <v>7908</v>
      </c>
      <c r="G3876" t="str">
        <f>"00860673"</f>
        <v>00860673</v>
      </c>
      <c r="H3876">
        <v>14.4</v>
      </c>
      <c r="I3876">
        <v>0</v>
      </c>
      <c r="M3876">
        <v>0</v>
      </c>
      <c r="N3876">
        <v>0</v>
      </c>
      <c r="O3876">
        <v>0</v>
      </c>
      <c r="P3876">
        <v>14.4</v>
      </c>
      <c r="Q3876">
        <v>0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  <c r="Y3876">
        <v>0</v>
      </c>
      <c r="Z3876">
        <v>0</v>
      </c>
      <c r="AA3876">
        <v>0</v>
      </c>
      <c r="AC3876">
        <v>14.4</v>
      </c>
    </row>
    <row r="3877" spans="1:29">
      <c r="A3877">
        <v>3870</v>
      </c>
      <c r="B3877">
        <v>1770</v>
      </c>
      <c r="C3877" t="s">
        <v>7898</v>
      </c>
      <c r="D3877" t="s">
        <v>39</v>
      </c>
      <c r="E3877" t="s">
        <v>66</v>
      </c>
      <c r="F3877" t="s">
        <v>7899</v>
      </c>
      <c r="G3877" t="str">
        <f>"00864058"</f>
        <v>00864058</v>
      </c>
      <c r="H3877">
        <v>14.4</v>
      </c>
      <c r="I3877">
        <v>0</v>
      </c>
      <c r="M3877">
        <v>0</v>
      </c>
      <c r="N3877">
        <v>0</v>
      </c>
      <c r="O3877">
        <v>0</v>
      </c>
      <c r="P3877">
        <v>14.4</v>
      </c>
      <c r="Q3877">
        <v>0</v>
      </c>
      <c r="R3877">
        <v>0</v>
      </c>
      <c r="S3877">
        <v>0</v>
      </c>
      <c r="T3877">
        <v>0</v>
      </c>
      <c r="U3877">
        <v>0</v>
      </c>
      <c r="V3877">
        <v>0</v>
      </c>
      <c r="W3877">
        <v>0</v>
      </c>
      <c r="X3877">
        <v>0</v>
      </c>
      <c r="Y3877">
        <v>0</v>
      </c>
      <c r="Z3877">
        <v>0</v>
      </c>
      <c r="AA3877">
        <v>0</v>
      </c>
      <c r="AC3877">
        <v>14.4</v>
      </c>
    </row>
    <row r="3878" spans="1:29">
      <c r="A3878">
        <v>3871</v>
      </c>
      <c r="B3878">
        <v>2567</v>
      </c>
      <c r="C3878" t="s">
        <v>7909</v>
      </c>
      <c r="D3878" t="s">
        <v>7910</v>
      </c>
      <c r="E3878" t="s">
        <v>7911</v>
      </c>
      <c r="F3878" t="s">
        <v>7912</v>
      </c>
      <c r="G3878" t="str">
        <f>"00860853"</f>
        <v>00860853</v>
      </c>
      <c r="H3878">
        <v>14.4</v>
      </c>
      <c r="I3878">
        <v>0</v>
      </c>
      <c r="M3878">
        <v>0</v>
      </c>
      <c r="N3878">
        <v>0</v>
      </c>
      <c r="O3878">
        <v>0</v>
      </c>
      <c r="P3878">
        <v>14.4</v>
      </c>
      <c r="Q3878">
        <v>0</v>
      </c>
      <c r="R3878">
        <v>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0</v>
      </c>
      <c r="Y3878">
        <v>0</v>
      </c>
      <c r="Z3878">
        <v>0</v>
      </c>
      <c r="AA3878">
        <v>0</v>
      </c>
      <c r="AC3878">
        <v>14.4</v>
      </c>
    </row>
    <row r="3879" spans="1:29">
      <c r="A3879">
        <v>3872</v>
      </c>
      <c r="B3879">
        <v>3258</v>
      </c>
      <c r="C3879" t="s">
        <v>7904</v>
      </c>
      <c r="D3879" t="s">
        <v>7905</v>
      </c>
      <c r="E3879" t="s">
        <v>967</v>
      </c>
      <c r="F3879" t="s">
        <v>7906</v>
      </c>
      <c r="G3879" t="str">
        <f>"00533776"</f>
        <v>00533776</v>
      </c>
      <c r="H3879">
        <v>14.4</v>
      </c>
      <c r="I3879">
        <v>0</v>
      </c>
      <c r="M3879">
        <v>0</v>
      </c>
      <c r="N3879">
        <v>0</v>
      </c>
      <c r="O3879">
        <v>0</v>
      </c>
      <c r="P3879">
        <v>14.4</v>
      </c>
      <c r="Q3879">
        <v>0</v>
      </c>
      <c r="R3879">
        <v>0</v>
      </c>
      <c r="S3879">
        <v>0</v>
      </c>
      <c r="T3879">
        <v>0</v>
      </c>
      <c r="U3879">
        <v>0</v>
      </c>
      <c r="V3879">
        <v>0</v>
      </c>
      <c r="W3879">
        <v>0</v>
      </c>
      <c r="X3879">
        <v>0</v>
      </c>
      <c r="Y3879">
        <v>0</v>
      </c>
      <c r="Z3879">
        <v>0</v>
      </c>
      <c r="AA3879">
        <v>0</v>
      </c>
      <c r="AC3879">
        <v>14.4</v>
      </c>
    </row>
    <row r="3880" spans="1:29">
      <c r="A3880">
        <v>3873</v>
      </c>
      <c r="B3880">
        <v>3262</v>
      </c>
      <c r="C3880" t="s">
        <v>7887</v>
      </c>
      <c r="D3880" t="s">
        <v>1810</v>
      </c>
      <c r="E3880" t="s">
        <v>36</v>
      </c>
      <c r="F3880" t="s">
        <v>7888</v>
      </c>
      <c r="G3880" t="str">
        <f>"201510000248"</f>
        <v>201510000248</v>
      </c>
      <c r="H3880">
        <v>14.4</v>
      </c>
      <c r="I3880">
        <v>0</v>
      </c>
      <c r="M3880">
        <v>0</v>
      </c>
      <c r="N3880">
        <v>0</v>
      </c>
      <c r="O3880">
        <v>0</v>
      </c>
      <c r="P3880">
        <v>14.4</v>
      </c>
      <c r="Q3880">
        <v>0</v>
      </c>
      <c r="R3880">
        <v>0</v>
      </c>
      <c r="S3880">
        <v>0</v>
      </c>
      <c r="T3880">
        <v>0</v>
      </c>
      <c r="U3880">
        <v>0</v>
      </c>
      <c r="V3880">
        <v>0</v>
      </c>
      <c r="W3880">
        <v>0</v>
      </c>
      <c r="X3880">
        <v>0</v>
      </c>
      <c r="Y3880">
        <v>0</v>
      </c>
      <c r="Z3880">
        <v>0</v>
      </c>
      <c r="AA3880">
        <v>0</v>
      </c>
      <c r="AC3880">
        <v>14.4</v>
      </c>
    </row>
    <row r="3881" spans="1:29">
      <c r="A3881">
        <v>3874</v>
      </c>
      <c r="B3881">
        <v>4049</v>
      </c>
      <c r="C3881" t="s">
        <v>7889</v>
      </c>
      <c r="D3881" t="s">
        <v>31</v>
      </c>
      <c r="E3881" t="s">
        <v>36</v>
      </c>
      <c r="F3881" t="s">
        <v>7890</v>
      </c>
      <c r="G3881" t="str">
        <f>"00864447"</f>
        <v>00864447</v>
      </c>
      <c r="H3881">
        <v>14.4</v>
      </c>
      <c r="I3881">
        <v>0</v>
      </c>
      <c r="M3881">
        <v>0</v>
      </c>
      <c r="N3881">
        <v>0</v>
      </c>
      <c r="O3881">
        <v>0</v>
      </c>
      <c r="P3881">
        <v>14.4</v>
      </c>
      <c r="Q3881">
        <v>0</v>
      </c>
      <c r="R3881">
        <v>0</v>
      </c>
      <c r="S3881">
        <v>0</v>
      </c>
      <c r="T3881">
        <v>0</v>
      </c>
      <c r="U3881">
        <v>0</v>
      </c>
      <c r="V3881">
        <v>0</v>
      </c>
      <c r="W3881">
        <v>0</v>
      </c>
      <c r="X3881">
        <v>0</v>
      </c>
      <c r="Y3881">
        <v>0</v>
      </c>
      <c r="Z3881">
        <v>0</v>
      </c>
      <c r="AA3881">
        <v>0</v>
      </c>
      <c r="AC3881">
        <v>14.4</v>
      </c>
    </row>
    <row r="3882" spans="1:29">
      <c r="A3882">
        <v>3875</v>
      </c>
      <c r="B3882">
        <v>4747</v>
      </c>
      <c r="C3882" t="s">
        <v>7894</v>
      </c>
      <c r="D3882" t="s">
        <v>175</v>
      </c>
      <c r="E3882" t="s">
        <v>322</v>
      </c>
      <c r="F3882" t="s">
        <v>7895</v>
      </c>
      <c r="G3882" t="str">
        <f>"00866528"</f>
        <v>00866528</v>
      </c>
      <c r="H3882">
        <v>14.4</v>
      </c>
      <c r="I3882">
        <v>0</v>
      </c>
      <c r="M3882">
        <v>0</v>
      </c>
      <c r="N3882">
        <v>0</v>
      </c>
      <c r="O3882">
        <v>0</v>
      </c>
      <c r="P3882">
        <v>14.4</v>
      </c>
      <c r="Q3882">
        <v>0</v>
      </c>
      <c r="R3882">
        <v>0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0</v>
      </c>
      <c r="Y3882">
        <v>0</v>
      </c>
      <c r="Z3882">
        <v>0</v>
      </c>
      <c r="AA3882">
        <v>0</v>
      </c>
      <c r="AC3882">
        <v>14.4</v>
      </c>
    </row>
    <row r="3883" spans="1:29">
      <c r="A3883">
        <v>3876</v>
      </c>
      <c r="B3883">
        <v>4811</v>
      </c>
      <c r="C3883" t="s">
        <v>7917</v>
      </c>
      <c r="D3883" t="s">
        <v>27</v>
      </c>
      <c r="E3883" t="s">
        <v>134</v>
      </c>
      <c r="F3883" t="s">
        <v>7918</v>
      </c>
      <c r="G3883" t="str">
        <f>"00866412"</f>
        <v>00866412</v>
      </c>
      <c r="H3883">
        <v>14.4</v>
      </c>
      <c r="I3883">
        <v>0</v>
      </c>
      <c r="M3883">
        <v>0</v>
      </c>
      <c r="N3883">
        <v>0</v>
      </c>
      <c r="O3883">
        <v>0</v>
      </c>
      <c r="P3883">
        <v>14.4</v>
      </c>
      <c r="Q3883">
        <v>0</v>
      </c>
      <c r="R3883">
        <v>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0</v>
      </c>
      <c r="Y3883">
        <v>0</v>
      </c>
      <c r="Z3883">
        <v>0</v>
      </c>
      <c r="AA3883">
        <v>0</v>
      </c>
      <c r="AC3883">
        <v>14.4</v>
      </c>
    </row>
    <row r="3884" spans="1:29">
      <c r="A3884">
        <v>3877</v>
      </c>
      <c r="B3884">
        <v>1462</v>
      </c>
      <c r="C3884" t="s">
        <v>7914</v>
      </c>
      <c r="D3884" t="s">
        <v>27</v>
      </c>
      <c r="E3884" t="s">
        <v>827</v>
      </c>
      <c r="F3884" t="s">
        <v>7915</v>
      </c>
      <c r="G3884" t="str">
        <f>"00858009"</f>
        <v>00858009</v>
      </c>
      <c r="H3884">
        <v>14.4</v>
      </c>
      <c r="I3884">
        <v>0</v>
      </c>
      <c r="M3884">
        <v>0</v>
      </c>
      <c r="N3884">
        <v>0</v>
      </c>
      <c r="O3884">
        <v>0</v>
      </c>
      <c r="P3884">
        <v>14.4</v>
      </c>
      <c r="Q3884">
        <v>0</v>
      </c>
      <c r="R3884">
        <v>0</v>
      </c>
      <c r="S3884">
        <v>0</v>
      </c>
      <c r="T3884">
        <v>0</v>
      </c>
      <c r="U3884">
        <v>0</v>
      </c>
      <c r="V3884">
        <v>0</v>
      </c>
      <c r="W3884">
        <v>0</v>
      </c>
      <c r="X3884">
        <v>0</v>
      </c>
      <c r="Y3884">
        <v>0</v>
      </c>
      <c r="Z3884">
        <v>0</v>
      </c>
      <c r="AA3884">
        <v>0</v>
      </c>
      <c r="AC3884">
        <v>14.4</v>
      </c>
    </row>
    <row r="3885" spans="1:29">
      <c r="A3885">
        <v>3878</v>
      </c>
      <c r="B3885">
        <v>1888</v>
      </c>
      <c r="C3885" t="s">
        <v>4006</v>
      </c>
      <c r="D3885" t="s">
        <v>27</v>
      </c>
      <c r="E3885" t="s">
        <v>165</v>
      </c>
      <c r="F3885" t="s">
        <v>7893</v>
      </c>
      <c r="G3885" t="str">
        <f>"00864723"</f>
        <v>00864723</v>
      </c>
      <c r="H3885">
        <v>14.4</v>
      </c>
      <c r="I3885">
        <v>0</v>
      </c>
      <c r="M3885">
        <v>0</v>
      </c>
      <c r="N3885">
        <v>0</v>
      </c>
      <c r="O3885">
        <v>0</v>
      </c>
      <c r="P3885">
        <v>14.4</v>
      </c>
      <c r="Q3885">
        <v>0</v>
      </c>
      <c r="R3885">
        <v>0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0</v>
      </c>
      <c r="Y3885">
        <v>0</v>
      </c>
      <c r="Z3885">
        <v>0</v>
      </c>
      <c r="AA3885">
        <v>0</v>
      </c>
      <c r="AC3885">
        <v>14.4</v>
      </c>
    </row>
    <row r="3886" spans="1:29">
      <c r="A3886">
        <v>3879</v>
      </c>
      <c r="B3886">
        <v>4148</v>
      </c>
      <c r="C3886" t="s">
        <v>4884</v>
      </c>
      <c r="D3886" t="s">
        <v>95</v>
      </c>
      <c r="E3886" t="s">
        <v>134</v>
      </c>
      <c r="F3886" t="s">
        <v>7913</v>
      </c>
      <c r="G3886" t="str">
        <f>"00863154"</f>
        <v>00863154</v>
      </c>
      <c r="H3886">
        <v>14.4</v>
      </c>
      <c r="I3886">
        <v>0</v>
      </c>
      <c r="M3886">
        <v>0</v>
      </c>
      <c r="N3886">
        <v>0</v>
      </c>
      <c r="O3886">
        <v>0</v>
      </c>
      <c r="P3886">
        <v>14.4</v>
      </c>
      <c r="Q3886">
        <v>0</v>
      </c>
      <c r="R3886">
        <v>0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0</v>
      </c>
      <c r="Y3886">
        <v>0</v>
      </c>
      <c r="Z3886">
        <v>0</v>
      </c>
      <c r="AA3886">
        <v>0</v>
      </c>
      <c r="AC3886">
        <v>14.4</v>
      </c>
    </row>
    <row r="3887" spans="1:29">
      <c r="A3887">
        <v>3880</v>
      </c>
      <c r="B3887">
        <v>2091</v>
      </c>
      <c r="C3887" t="s">
        <v>7919</v>
      </c>
      <c r="D3887" t="s">
        <v>31</v>
      </c>
      <c r="E3887" t="s">
        <v>369</v>
      </c>
      <c r="F3887" t="s">
        <v>7920</v>
      </c>
      <c r="G3887" t="str">
        <f>"00527586"</f>
        <v>00527586</v>
      </c>
      <c r="H3887">
        <v>11.28</v>
      </c>
      <c r="I3887">
        <v>0</v>
      </c>
      <c r="M3887">
        <v>0</v>
      </c>
      <c r="N3887">
        <v>0</v>
      </c>
      <c r="O3887">
        <v>0</v>
      </c>
      <c r="P3887">
        <v>11.28</v>
      </c>
      <c r="Q3887">
        <v>0</v>
      </c>
      <c r="R3887">
        <v>0</v>
      </c>
      <c r="S3887">
        <v>0</v>
      </c>
      <c r="T3887">
        <v>0</v>
      </c>
      <c r="U3887">
        <v>0</v>
      </c>
      <c r="V3887">
        <v>0</v>
      </c>
      <c r="W3887">
        <v>0</v>
      </c>
      <c r="X3887">
        <v>0</v>
      </c>
      <c r="Y3887">
        <v>0</v>
      </c>
      <c r="Z3887">
        <v>3</v>
      </c>
      <c r="AA3887">
        <v>0</v>
      </c>
      <c r="AC3887">
        <v>14.28</v>
      </c>
    </row>
    <row r="3888" spans="1:29">
      <c r="A3888">
        <v>3881</v>
      </c>
      <c r="B3888">
        <v>3489</v>
      </c>
      <c r="C3888" t="s">
        <v>7935</v>
      </c>
      <c r="D3888" t="s">
        <v>7936</v>
      </c>
      <c r="E3888" t="s">
        <v>889</v>
      </c>
      <c r="F3888" t="s">
        <v>7937</v>
      </c>
      <c r="G3888" t="str">
        <f>"00554975"</f>
        <v>00554975</v>
      </c>
      <c r="H3888">
        <v>7.2</v>
      </c>
      <c r="I3888">
        <v>0</v>
      </c>
      <c r="M3888">
        <v>0</v>
      </c>
      <c r="N3888">
        <v>4</v>
      </c>
      <c r="O3888">
        <v>0</v>
      </c>
      <c r="P3888">
        <v>11.2</v>
      </c>
      <c r="Q3888">
        <v>0</v>
      </c>
      <c r="R3888">
        <v>0</v>
      </c>
      <c r="S3888">
        <v>0</v>
      </c>
      <c r="T3888">
        <v>0</v>
      </c>
      <c r="U3888">
        <v>0</v>
      </c>
      <c r="V3888">
        <v>0</v>
      </c>
      <c r="W3888">
        <v>0</v>
      </c>
      <c r="X3888">
        <v>0</v>
      </c>
      <c r="Y3888">
        <v>0</v>
      </c>
      <c r="Z3888">
        <v>3</v>
      </c>
      <c r="AA3888">
        <v>0</v>
      </c>
      <c r="AC3888">
        <v>14.2</v>
      </c>
    </row>
    <row r="3889" spans="1:29">
      <c r="A3889">
        <v>3882</v>
      </c>
      <c r="B3889">
        <v>4132</v>
      </c>
      <c r="C3889" t="s">
        <v>7932</v>
      </c>
      <c r="D3889" t="s">
        <v>7933</v>
      </c>
      <c r="E3889" t="s">
        <v>15</v>
      </c>
      <c r="F3889" t="s">
        <v>7934</v>
      </c>
      <c r="G3889" t="str">
        <f>"00023522"</f>
        <v>00023522</v>
      </c>
      <c r="H3889">
        <v>7.2</v>
      </c>
      <c r="I3889">
        <v>0</v>
      </c>
      <c r="M3889">
        <v>0</v>
      </c>
      <c r="N3889">
        <v>4</v>
      </c>
      <c r="O3889">
        <v>0</v>
      </c>
      <c r="P3889">
        <v>11.2</v>
      </c>
      <c r="Q3889">
        <v>0</v>
      </c>
      <c r="R3889">
        <v>0</v>
      </c>
      <c r="S3889">
        <v>0</v>
      </c>
      <c r="T3889">
        <v>0</v>
      </c>
      <c r="U3889">
        <v>0</v>
      </c>
      <c r="V3889">
        <v>0</v>
      </c>
      <c r="W3889">
        <v>0</v>
      </c>
      <c r="X3889">
        <v>0</v>
      </c>
      <c r="Y3889">
        <v>0</v>
      </c>
      <c r="Z3889">
        <v>3</v>
      </c>
      <c r="AA3889">
        <v>0</v>
      </c>
      <c r="AC3889">
        <v>14.2</v>
      </c>
    </row>
    <row r="3890" spans="1:29">
      <c r="A3890">
        <v>3883</v>
      </c>
      <c r="B3890">
        <v>3814</v>
      </c>
      <c r="C3890" t="s">
        <v>1556</v>
      </c>
      <c r="D3890" t="s">
        <v>2092</v>
      </c>
      <c r="E3890" t="s">
        <v>156</v>
      </c>
      <c r="F3890" t="s">
        <v>7921</v>
      </c>
      <c r="G3890" t="str">
        <f>"00861154"</f>
        <v>00861154</v>
      </c>
      <c r="H3890">
        <v>7.2</v>
      </c>
      <c r="I3890">
        <v>0</v>
      </c>
      <c r="M3890">
        <v>0</v>
      </c>
      <c r="N3890">
        <v>4</v>
      </c>
      <c r="O3890">
        <v>0</v>
      </c>
      <c r="P3890">
        <v>11.2</v>
      </c>
      <c r="Q3890">
        <v>0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  <c r="Y3890">
        <v>0</v>
      </c>
      <c r="Z3890">
        <v>3</v>
      </c>
      <c r="AA3890">
        <v>0</v>
      </c>
      <c r="AC3890">
        <v>14.2</v>
      </c>
    </row>
    <row r="3891" spans="1:29">
      <c r="A3891">
        <v>3884</v>
      </c>
      <c r="B3891">
        <v>3076</v>
      </c>
      <c r="C3891" t="s">
        <v>7923</v>
      </c>
      <c r="D3891" t="s">
        <v>27</v>
      </c>
      <c r="E3891" t="s">
        <v>15</v>
      </c>
      <c r="F3891" t="s">
        <v>7924</v>
      </c>
      <c r="G3891" t="str">
        <f>"00863539"</f>
        <v>00863539</v>
      </c>
      <c r="H3891">
        <v>7.2</v>
      </c>
      <c r="I3891">
        <v>0</v>
      </c>
      <c r="M3891">
        <v>0</v>
      </c>
      <c r="N3891">
        <v>4</v>
      </c>
      <c r="O3891">
        <v>0</v>
      </c>
      <c r="P3891">
        <v>11.2</v>
      </c>
      <c r="Q3891">
        <v>0</v>
      </c>
      <c r="R3891">
        <v>0</v>
      </c>
      <c r="S3891">
        <v>0</v>
      </c>
      <c r="T3891">
        <v>0</v>
      </c>
      <c r="U3891">
        <v>0</v>
      </c>
      <c r="V3891">
        <v>0</v>
      </c>
      <c r="W3891">
        <v>0</v>
      </c>
      <c r="X3891">
        <v>0</v>
      </c>
      <c r="Y3891">
        <v>0</v>
      </c>
      <c r="Z3891">
        <v>3</v>
      </c>
      <c r="AA3891">
        <v>0</v>
      </c>
      <c r="AC3891">
        <v>14.2</v>
      </c>
    </row>
    <row r="3892" spans="1:29">
      <c r="A3892">
        <v>3885</v>
      </c>
      <c r="B3892">
        <v>4529</v>
      </c>
      <c r="C3892" t="s">
        <v>7925</v>
      </c>
      <c r="D3892" t="s">
        <v>52</v>
      </c>
      <c r="E3892" t="s">
        <v>7926</v>
      </c>
      <c r="F3892" t="s">
        <v>7927</v>
      </c>
      <c r="G3892" t="str">
        <f>"00203431"</f>
        <v>00203431</v>
      </c>
      <c r="H3892">
        <v>7.2</v>
      </c>
      <c r="I3892">
        <v>0</v>
      </c>
      <c r="M3892">
        <v>0</v>
      </c>
      <c r="N3892">
        <v>4</v>
      </c>
      <c r="O3892">
        <v>0</v>
      </c>
      <c r="P3892">
        <v>11.2</v>
      </c>
      <c r="Q3892">
        <v>0</v>
      </c>
      <c r="R3892">
        <v>0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  <c r="Y3892">
        <v>0</v>
      </c>
      <c r="Z3892">
        <v>3</v>
      </c>
      <c r="AA3892">
        <v>0</v>
      </c>
      <c r="AC3892">
        <v>14.2</v>
      </c>
    </row>
    <row r="3893" spans="1:29">
      <c r="A3893">
        <v>3886</v>
      </c>
      <c r="B3893">
        <v>4872</v>
      </c>
      <c r="C3893" t="s">
        <v>5850</v>
      </c>
      <c r="D3893" t="s">
        <v>20</v>
      </c>
      <c r="E3893" t="s">
        <v>621</v>
      </c>
      <c r="F3893" t="s">
        <v>7922</v>
      </c>
      <c r="G3893" t="str">
        <f>"00702734"</f>
        <v>00702734</v>
      </c>
      <c r="H3893">
        <v>7.2</v>
      </c>
      <c r="I3893">
        <v>0</v>
      </c>
      <c r="M3893">
        <v>0</v>
      </c>
      <c r="N3893">
        <v>4</v>
      </c>
      <c r="O3893">
        <v>0</v>
      </c>
      <c r="P3893">
        <v>11.2</v>
      </c>
      <c r="Q3893">
        <v>0</v>
      </c>
      <c r="R3893">
        <v>0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0</v>
      </c>
      <c r="Y3893">
        <v>0</v>
      </c>
      <c r="Z3893">
        <v>3</v>
      </c>
      <c r="AA3893">
        <v>0</v>
      </c>
      <c r="AC3893">
        <v>14.2</v>
      </c>
    </row>
    <row r="3894" spans="1:29">
      <c r="A3894">
        <v>3887</v>
      </c>
      <c r="B3894">
        <v>3538</v>
      </c>
      <c r="C3894" t="s">
        <v>7930</v>
      </c>
      <c r="D3894" t="s">
        <v>31</v>
      </c>
      <c r="E3894" t="s">
        <v>36</v>
      </c>
      <c r="F3894" t="s">
        <v>7931</v>
      </c>
      <c r="G3894" t="str">
        <f>"00863122"</f>
        <v>00863122</v>
      </c>
      <c r="H3894">
        <v>7.2</v>
      </c>
      <c r="I3894">
        <v>0</v>
      </c>
      <c r="M3894">
        <v>0</v>
      </c>
      <c r="N3894">
        <v>4</v>
      </c>
      <c r="O3894">
        <v>0</v>
      </c>
      <c r="P3894">
        <v>11.2</v>
      </c>
      <c r="Q3894">
        <v>0</v>
      </c>
      <c r="R3894">
        <v>0</v>
      </c>
      <c r="S3894">
        <v>0</v>
      </c>
      <c r="T3894">
        <v>0</v>
      </c>
      <c r="U3894">
        <v>0</v>
      </c>
      <c r="V3894">
        <v>0</v>
      </c>
      <c r="W3894">
        <v>0</v>
      </c>
      <c r="X3894">
        <v>0</v>
      </c>
      <c r="Y3894">
        <v>0</v>
      </c>
      <c r="Z3894">
        <v>3</v>
      </c>
      <c r="AA3894">
        <v>0</v>
      </c>
      <c r="AC3894">
        <v>14.2</v>
      </c>
    </row>
    <row r="3895" spans="1:29">
      <c r="A3895">
        <v>3888</v>
      </c>
      <c r="B3895">
        <v>4210</v>
      </c>
      <c r="C3895" t="s">
        <v>7928</v>
      </c>
      <c r="D3895" t="s">
        <v>39</v>
      </c>
      <c r="E3895" t="s">
        <v>18</v>
      </c>
      <c r="F3895" t="s">
        <v>7929</v>
      </c>
      <c r="G3895" t="str">
        <f>"00865058"</f>
        <v>00865058</v>
      </c>
      <c r="H3895">
        <v>7.2</v>
      </c>
      <c r="I3895">
        <v>0</v>
      </c>
      <c r="L3895">
        <v>4</v>
      </c>
      <c r="M3895">
        <v>4</v>
      </c>
      <c r="N3895">
        <v>0</v>
      </c>
      <c r="O3895">
        <v>0</v>
      </c>
      <c r="P3895">
        <v>11.2</v>
      </c>
      <c r="Q3895">
        <v>0</v>
      </c>
      <c r="R3895">
        <v>0</v>
      </c>
      <c r="S3895">
        <v>0</v>
      </c>
      <c r="T3895">
        <v>0</v>
      </c>
      <c r="U3895">
        <v>0</v>
      </c>
      <c r="V3895">
        <v>0</v>
      </c>
      <c r="W3895">
        <v>0</v>
      </c>
      <c r="X3895">
        <v>0</v>
      </c>
      <c r="Y3895">
        <v>0</v>
      </c>
      <c r="Z3895">
        <v>3</v>
      </c>
      <c r="AA3895">
        <v>0</v>
      </c>
      <c r="AC3895">
        <v>14.2</v>
      </c>
    </row>
    <row r="3896" spans="1:29">
      <c r="A3896">
        <v>3889</v>
      </c>
      <c r="B3896">
        <v>4659</v>
      </c>
      <c r="C3896" t="s">
        <v>571</v>
      </c>
      <c r="D3896" t="s">
        <v>52</v>
      </c>
      <c r="E3896" t="s">
        <v>36</v>
      </c>
      <c r="F3896" t="s">
        <v>7938</v>
      </c>
      <c r="G3896" t="str">
        <f>"00866084"</f>
        <v>00866084</v>
      </c>
      <c r="H3896">
        <v>8.16</v>
      </c>
      <c r="I3896">
        <v>0</v>
      </c>
      <c r="M3896">
        <v>0</v>
      </c>
      <c r="N3896">
        <v>4</v>
      </c>
      <c r="O3896">
        <v>2</v>
      </c>
      <c r="P3896">
        <v>14.16</v>
      </c>
      <c r="Q3896">
        <v>0</v>
      </c>
      <c r="R3896">
        <v>0</v>
      </c>
      <c r="S3896">
        <v>0</v>
      </c>
      <c r="T3896">
        <v>0</v>
      </c>
      <c r="U3896">
        <v>0</v>
      </c>
      <c r="V3896">
        <v>0</v>
      </c>
      <c r="W3896">
        <v>0</v>
      </c>
      <c r="X3896">
        <v>0</v>
      </c>
      <c r="Y3896">
        <v>0</v>
      </c>
      <c r="Z3896">
        <v>0</v>
      </c>
      <c r="AA3896">
        <v>0</v>
      </c>
      <c r="AC3896">
        <v>14.16</v>
      </c>
    </row>
    <row r="3897" spans="1:29">
      <c r="A3897">
        <v>3890</v>
      </c>
      <c r="B3897">
        <v>1161</v>
      </c>
      <c r="C3897" t="s">
        <v>7939</v>
      </c>
      <c r="D3897" t="s">
        <v>820</v>
      </c>
      <c r="E3897" t="s">
        <v>32</v>
      </c>
      <c r="F3897" t="s">
        <v>7940</v>
      </c>
      <c r="G3897" t="str">
        <f>"201511041648"</f>
        <v>201511041648</v>
      </c>
      <c r="H3897">
        <v>10.119999999999999</v>
      </c>
      <c r="I3897">
        <v>0</v>
      </c>
      <c r="M3897">
        <v>0</v>
      </c>
      <c r="N3897">
        <v>4</v>
      </c>
      <c r="O3897">
        <v>0</v>
      </c>
      <c r="P3897">
        <v>14.12</v>
      </c>
      <c r="Q3897">
        <v>0</v>
      </c>
      <c r="R3897">
        <v>0</v>
      </c>
      <c r="S3897">
        <v>0</v>
      </c>
      <c r="T3897">
        <v>0</v>
      </c>
      <c r="U3897">
        <v>0</v>
      </c>
      <c r="V3897">
        <v>0</v>
      </c>
      <c r="W3897">
        <v>0</v>
      </c>
      <c r="X3897">
        <v>0</v>
      </c>
      <c r="Y3897">
        <v>0</v>
      </c>
      <c r="Z3897">
        <v>0</v>
      </c>
      <c r="AA3897">
        <v>0</v>
      </c>
      <c r="AC3897">
        <v>14.12</v>
      </c>
    </row>
    <row r="3898" spans="1:29">
      <c r="A3898">
        <v>3891</v>
      </c>
      <c r="B3898">
        <v>4716</v>
      </c>
      <c r="C3898" t="s">
        <v>260</v>
      </c>
      <c r="D3898" t="s">
        <v>52</v>
      </c>
      <c r="E3898" t="s">
        <v>134</v>
      </c>
      <c r="F3898" t="s">
        <v>7943</v>
      </c>
      <c r="G3898" t="str">
        <f>"00866229"</f>
        <v>00866229</v>
      </c>
      <c r="H3898">
        <v>0</v>
      </c>
      <c r="I3898">
        <v>0</v>
      </c>
      <c r="L3898">
        <v>4</v>
      </c>
      <c r="M3898">
        <v>4</v>
      </c>
      <c r="N3898">
        <v>4</v>
      </c>
      <c r="O3898">
        <v>0</v>
      </c>
      <c r="P3898">
        <v>8</v>
      </c>
      <c r="Q3898">
        <v>0</v>
      </c>
      <c r="R3898">
        <v>0</v>
      </c>
      <c r="S3898">
        <v>0</v>
      </c>
      <c r="T3898">
        <v>0</v>
      </c>
      <c r="U3898">
        <v>0</v>
      </c>
      <c r="V3898">
        <v>0</v>
      </c>
      <c r="W3898">
        <v>0</v>
      </c>
      <c r="X3898">
        <v>0</v>
      </c>
      <c r="Y3898">
        <v>0</v>
      </c>
      <c r="Z3898">
        <v>6</v>
      </c>
      <c r="AA3898">
        <v>0</v>
      </c>
      <c r="AC3898">
        <v>14</v>
      </c>
    </row>
    <row r="3899" spans="1:29">
      <c r="A3899">
        <v>3892</v>
      </c>
      <c r="B3899">
        <v>633</v>
      </c>
      <c r="C3899" t="s">
        <v>7941</v>
      </c>
      <c r="D3899" t="s">
        <v>24</v>
      </c>
      <c r="E3899" t="s">
        <v>15</v>
      </c>
      <c r="F3899" t="s">
        <v>7942</v>
      </c>
      <c r="G3899" t="str">
        <f>"00856382"</f>
        <v>00856382</v>
      </c>
      <c r="H3899">
        <v>0</v>
      </c>
      <c r="I3899">
        <v>0</v>
      </c>
      <c r="L3899">
        <v>4</v>
      </c>
      <c r="M3899">
        <v>4</v>
      </c>
      <c r="N3899">
        <v>4</v>
      </c>
      <c r="O3899">
        <v>0</v>
      </c>
      <c r="P3899">
        <v>8</v>
      </c>
      <c r="Q3899">
        <v>0</v>
      </c>
      <c r="R3899">
        <v>0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0</v>
      </c>
      <c r="Y3899">
        <v>0</v>
      </c>
      <c r="Z3899">
        <v>6</v>
      </c>
      <c r="AA3899">
        <v>0</v>
      </c>
      <c r="AC3899">
        <v>14</v>
      </c>
    </row>
    <row r="3900" spans="1:29">
      <c r="A3900">
        <v>3893</v>
      </c>
      <c r="B3900">
        <v>4946</v>
      </c>
      <c r="C3900" t="s">
        <v>7944</v>
      </c>
      <c r="D3900" t="s">
        <v>27</v>
      </c>
      <c r="E3900" t="s">
        <v>50</v>
      </c>
      <c r="F3900" t="s">
        <v>7945</v>
      </c>
      <c r="G3900" t="str">
        <f>"00479590"</f>
        <v>00479590</v>
      </c>
      <c r="H3900">
        <v>0</v>
      </c>
      <c r="I3900">
        <v>0</v>
      </c>
      <c r="M3900">
        <v>0</v>
      </c>
      <c r="N3900">
        <v>4</v>
      </c>
      <c r="O3900">
        <v>0</v>
      </c>
      <c r="P3900">
        <v>4</v>
      </c>
      <c r="Q3900">
        <v>7</v>
      </c>
      <c r="R3900">
        <v>7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0</v>
      </c>
      <c r="Y3900">
        <v>7</v>
      </c>
      <c r="Z3900">
        <v>3</v>
      </c>
      <c r="AA3900">
        <v>0</v>
      </c>
      <c r="AC3900">
        <v>14</v>
      </c>
    </row>
    <row r="3901" spans="1:29">
      <c r="A3901">
        <v>3894</v>
      </c>
      <c r="B3901">
        <v>1326</v>
      </c>
      <c r="C3901" t="s">
        <v>7946</v>
      </c>
      <c r="D3901" t="s">
        <v>145</v>
      </c>
      <c r="E3901" t="s">
        <v>77</v>
      </c>
      <c r="F3901" t="s">
        <v>7947</v>
      </c>
      <c r="G3901" t="str">
        <f>"201410006038"</f>
        <v>201410006038</v>
      </c>
      <c r="H3901">
        <v>0</v>
      </c>
      <c r="I3901">
        <v>0</v>
      </c>
      <c r="M3901">
        <v>0</v>
      </c>
      <c r="N3901">
        <v>4</v>
      </c>
      <c r="O3901">
        <v>0</v>
      </c>
      <c r="P3901">
        <v>4</v>
      </c>
      <c r="Q3901">
        <v>7</v>
      </c>
      <c r="R3901">
        <v>7</v>
      </c>
      <c r="S3901">
        <v>0</v>
      </c>
      <c r="T3901">
        <v>0</v>
      </c>
      <c r="U3901">
        <v>0</v>
      </c>
      <c r="V3901">
        <v>0</v>
      </c>
      <c r="W3901">
        <v>0</v>
      </c>
      <c r="X3901">
        <v>0</v>
      </c>
      <c r="Y3901">
        <v>7</v>
      </c>
      <c r="Z3901">
        <v>3</v>
      </c>
      <c r="AA3901">
        <v>0</v>
      </c>
      <c r="AC3901">
        <v>14</v>
      </c>
    </row>
    <row r="3902" spans="1:29">
      <c r="A3902">
        <v>3895</v>
      </c>
      <c r="B3902">
        <v>4566</v>
      </c>
      <c r="C3902" t="s">
        <v>2496</v>
      </c>
      <c r="D3902" t="s">
        <v>20</v>
      </c>
      <c r="E3902" t="s">
        <v>15</v>
      </c>
      <c r="F3902" t="s">
        <v>7948</v>
      </c>
      <c r="G3902" t="str">
        <f>"00865445"</f>
        <v>00865445</v>
      </c>
      <c r="H3902">
        <v>14</v>
      </c>
      <c r="I3902">
        <v>0</v>
      </c>
      <c r="M3902">
        <v>0</v>
      </c>
      <c r="N3902">
        <v>0</v>
      </c>
      <c r="O3902">
        <v>0</v>
      </c>
      <c r="P3902">
        <v>14</v>
      </c>
      <c r="Q3902">
        <v>0</v>
      </c>
      <c r="R3902">
        <v>0</v>
      </c>
      <c r="S3902">
        <v>0</v>
      </c>
      <c r="T3902">
        <v>0</v>
      </c>
      <c r="U3902">
        <v>0</v>
      </c>
      <c r="V3902">
        <v>0</v>
      </c>
      <c r="W3902">
        <v>0</v>
      </c>
      <c r="X3902">
        <v>0</v>
      </c>
      <c r="Y3902">
        <v>0</v>
      </c>
      <c r="Z3902">
        <v>0</v>
      </c>
      <c r="AA3902">
        <v>0</v>
      </c>
      <c r="AC3902">
        <v>14</v>
      </c>
    </row>
    <row r="3903" spans="1:29">
      <c r="A3903">
        <v>3896</v>
      </c>
      <c r="B3903">
        <v>3396</v>
      </c>
      <c r="C3903" t="s">
        <v>6092</v>
      </c>
      <c r="D3903" t="s">
        <v>7949</v>
      </c>
      <c r="E3903" t="s">
        <v>36</v>
      </c>
      <c r="F3903" t="s">
        <v>7950</v>
      </c>
      <c r="G3903" t="str">
        <f>"00160096"</f>
        <v>00160096</v>
      </c>
      <c r="H3903">
        <v>0</v>
      </c>
      <c r="I3903">
        <v>0</v>
      </c>
      <c r="J3903">
        <v>8</v>
      </c>
      <c r="M3903">
        <v>8</v>
      </c>
      <c r="N3903">
        <v>4</v>
      </c>
      <c r="O3903">
        <v>2</v>
      </c>
      <c r="P3903">
        <v>14</v>
      </c>
      <c r="Q3903">
        <v>0</v>
      </c>
      <c r="R3903">
        <v>0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0</v>
      </c>
      <c r="Y3903">
        <v>0</v>
      </c>
      <c r="Z3903">
        <v>0</v>
      </c>
      <c r="AA3903">
        <v>0</v>
      </c>
      <c r="AC3903">
        <v>14</v>
      </c>
    </row>
    <row r="3904" spans="1:29">
      <c r="A3904">
        <v>3897</v>
      </c>
      <c r="B3904">
        <v>1395</v>
      </c>
      <c r="C3904" t="s">
        <v>1694</v>
      </c>
      <c r="D3904" t="s">
        <v>95</v>
      </c>
      <c r="E3904" t="s">
        <v>66</v>
      </c>
      <c r="F3904" t="s">
        <v>7955</v>
      </c>
      <c r="G3904" t="str">
        <f>"00381596"</f>
        <v>00381596</v>
      </c>
      <c r="H3904">
        <v>0</v>
      </c>
      <c r="I3904">
        <v>0</v>
      </c>
      <c r="J3904">
        <v>8</v>
      </c>
      <c r="M3904">
        <v>8</v>
      </c>
      <c r="N3904">
        <v>4</v>
      </c>
      <c r="O3904">
        <v>2</v>
      </c>
      <c r="P3904">
        <v>14</v>
      </c>
      <c r="Q3904">
        <v>0</v>
      </c>
      <c r="R3904">
        <v>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0</v>
      </c>
      <c r="Y3904">
        <v>0</v>
      </c>
      <c r="Z3904">
        <v>0</v>
      </c>
      <c r="AA3904">
        <v>0</v>
      </c>
      <c r="AC3904">
        <v>14</v>
      </c>
    </row>
    <row r="3905" spans="1:29">
      <c r="A3905">
        <v>3898</v>
      </c>
      <c r="B3905">
        <v>4378</v>
      </c>
      <c r="C3905" t="s">
        <v>7956</v>
      </c>
      <c r="D3905" t="s">
        <v>69</v>
      </c>
      <c r="E3905" t="s">
        <v>15</v>
      </c>
      <c r="F3905" t="s">
        <v>7957</v>
      </c>
      <c r="G3905" t="str">
        <f>"00484181"</f>
        <v>00484181</v>
      </c>
      <c r="H3905">
        <v>0</v>
      </c>
      <c r="I3905">
        <v>0</v>
      </c>
      <c r="J3905">
        <v>8</v>
      </c>
      <c r="M3905">
        <v>8</v>
      </c>
      <c r="N3905">
        <v>4</v>
      </c>
      <c r="O3905">
        <v>2</v>
      </c>
      <c r="P3905">
        <v>14</v>
      </c>
      <c r="Q3905">
        <v>0</v>
      </c>
      <c r="R3905">
        <v>0</v>
      </c>
      <c r="S3905">
        <v>0</v>
      </c>
      <c r="T3905">
        <v>0</v>
      </c>
      <c r="U3905">
        <v>0</v>
      </c>
      <c r="V3905">
        <v>0</v>
      </c>
      <c r="W3905">
        <v>0</v>
      </c>
      <c r="X3905">
        <v>0</v>
      </c>
      <c r="Y3905">
        <v>0</v>
      </c>
      <c r="Z3905">
        <v>0</v>
      </c>
      <c r="AA3905">
        <v>0</v>
      </c>
      <c r="AC3905">
        <v>14</v>
      </c>
    </row>
    <row r="3906" spans="1:29">
      <c r="A3906">
        <v>3899</v>
      </c>
      <c r="B3906">
        <v>1378</v>
      </c>
      <c r="C3906" t="s">
        <v>7953</v>
      </c>
      <c r="D3906" t="s">
        <v>164</v>
      </c>
      <c r="E3906" t="s">
        <v>15</v>
      </c>
      <c r="F3906" t="s">
        <v>7954</v>
      </c>
      <c r="G3906" t="str">
        <f>"00509559"</f>
        <v>00509559</v>
      </c>
      <c r="H3906">
        <v>0</v>
      </c>
      <c r="I3906">
        <v>0</v>
      </c>
      <c r="J3906">
        <v>8</v>
      </c>
      <c r="M3906">
        <v>8</v>
      </c>
      <c r="N3906">
        <v>4</v>
      </c>
      <c r="O3906">
        <v>2</v>
      </c>
      <c r="P3906">
        <v>14</v>
      </c>
      <c r="Q3906">
        <v>0</v>
      </c>
      <c r="R3906">
        <v>0</v>
      </c>
      <c r="S3906">
        <v>0</v>
      </c>
      <c r="T3906">
        <v>0</v>
      </c>
      <c r="U3906">
        <v>0</v>
      </c>
      <c r="V3906">
        <v>0</v>
      </c>
      <c r="W3906">
        <v>0</v>
      </c>
      <c r="X3906">
        <v>0</v>
      </c>
      <c r="Y3906">
        <v>0</v>
      </c>
      <c r="Z3906">
        <v>0</v>
      </c>
      <c r="AA3906">
        <v>0</v>
      </c>
      <c r="AC3906">
        <v>14</v>
      </c>
    </row>
    <row r="3907" spans="1:29">
      <c r="A3907">
        <v>3900</v>
      </c>
      <c r="B3907">
        <v>48</v>
      </c>
      <c r="C3907" t="s">
        <v>7951</v>
      </c>
      <c r="D3907" t="s">
        <v>164</v>
      </c>
      <c r="E3907" t="s">
        <v>252</v>
      </c>
      <c r="F3907" t="s">
        <v>7952</v>
      </c>
      <c r="G3907" t="str">
        <f>"201511038421"</f>
        <v>201511038421</v>
      </c>
      <c r="H3907">
        <v>0</v>
      </c>
      <c r="I3907">
        <v>0</v>
      </c>
      <c r="J3907">
        <v>8</v>
      </c>
      <c r="K3907">
        <v>6</v>
      </c>
      <c r="M3907">
        <v>14</v>
      </c>
      <c r="N3907">
        <v>0</v>
      </c>
      <c r="O3907">
        <v>0</v>
      </c>
      <c r="P3907">
        <v>14</v>
      </c>
      <c r="Q3907">
        <v>0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0</v>
      </c>
      <c r="X3907">
        <v>0</v>
      </c>
      <c r="Y3907">
        <v>0</v>
      </c>
      <c r="Z3907">
        <v>0</v>
      </c>
      <c r="AA3907">
        <v>0</v>
      </c>
      <c r="AC3907">
        <v>14</v>
      </c>
    </row>
    <row r="3908" spans="1:29">
      <c r="A3908">
        <v>3901</v>
      </c>
      <c r="B3908">
        <v>426</v>
      </c>
      <c r="C3908" t="s">
        <v>7958</v>
      </c>
      <c r="D3908" t="s">
        <v>261</v>
      </c>
      <c r="E3908" t="s">
        <v>15</v>
      </c>
      <c r="F3908" t="s">
        <v>7959</v>
      </c>
      <c r="G3908" t="str">
        <f>"00530703"</f>
        <v>00530703</v>
      </c>
      <c r="H3908">
        <v>0</v>
      </c>
      <c r="I3908">
        <v>0</v>
      </c>
      <c r="L3908">
        <v>4</v>
      </c>
      <c r="M3908">
        <v>4</v>
      </c>
      <c r="N3908">
        <v>4</v>
      </c>
      <c r="O3908">
        <v>0</v>
      </c>
      <c r="P3908">
        <v>8</v>
      </c>
      <c r="Q3908">
        <v>6</v>
      </c>
      <c r="R3908">
        <v>6</v>
      </c>
      <c r="S3908">
        <v>0</v>
      </c>
      <c r="T3908">
        <v>0</v>
      </c>
      <c r="U3908">
        <v>0</v>
      </c>
      <c r="V3908">
        <v>0</v>
      </c>
      <c r="W3908">
        <v>0</v>
      </c>
      <c r="X3908">
        <v>0</v>
      </c>
      <c r="Y3908">
        <v>6</v>
      </c>
      <c r="Z3908">
        <v>0</v>
      </c>
      <c r="AA3908">
        <v>0</v>
      </c>
      <c r="AC3908">
        <v>14</v>
      </c>
    </row>
    <row r="3909" spans="1:29">
      <c r="A3909">
        <v>3902</v>
      </c>
      <c r="B3909">
        <v>627</v>
      </c>
      <c r="C3909" t="s">
        <v>7961</v>
      </c>
      <c r="D3909" t="s">
        <v>7962</v>
      </c>
      <c r="E3909" t="s">
        <v>66</v>
      </c>
      <c r="F3909" t="s">
        <v>7963</v>
      </c>
      <c r="G3909" t="str">
        <f>"00527431"</f>
        <v>00527431</v>
      </c>
      <c r="H3909">
        <v>0</v>
      </c>
      <c r="I3909">
        <v>0</v>
      </c>
      <c r="L3909">
        <v>4</v>
      </c>
      <c r="M3909">
        <v>4</v>
      </c>
      <c r="N3909">
        <v>4</v>
      </c>
      <c r="O3909">
        <v>0</v>
      </c>
      <c r="P3909">
        <v>8</v>
      </c>
      <c r="Q3909">
        <v>6</v>
      </c>
      <c r="R3909">
        <v>6</v>
      </c>
      <c r="S3909">
        <v>0</v>
      </c>
      <c r="T3909">
        <v>0</v>
      </c>
      <c r="U3909">
        <v>0</v>
      </c>
      <c r="V3909">
        <v>0</v>
      </c>
      <c r="W3909">
        <v>0</v>
      </c>
      <c r="X3909">
        <v>0</v>
      </c>
      <c r="Y3909">
        <v>6</v>
      </c>
      <c r="Z3909">
        <v>0</v>
      </c>
      <c r="AA3909">
        <v>0</v>
      </c>
      <c r="AC3909">
        <v>14</v>
      </c>
    </row>
    <row r="3910" spans="1:29">
      <c r="A3910">
        <v>3903</v>
      </c>
      <c r="B3910">
        <v>256</v>
      </c>
      <c r="C3910" t="s">
        <v>3119</v>
      </c>
      <c r="D3910" t="s">
        <v>164</v>
      </c>
      <c r="E3910" t="s">
        <v>621</v>
      </c>
      <c r="F3910" t="s">
        <v>7960</v>
      </c>
      <c r="G3910" t="str">
        <f>"00315239"</f>
        <v>00315239</v>
      </c>
      <c r="H3910">
        <v>0</v>
      </c>
      <c r="I3910">
        <v>0</v>
      </c>
      <c r="L3910">
        <v>4</v>
      </c>
      <c r="M3910">
        <v>4</v>
      </c>
      <c r="N3910">
        <v>4</v>
      </c>
      <c r="O3910">
        <v>0</v>
      </c>
      <c r="P3910">
        <v>8</v>
      </c>
      <c r="Q3910">
        <v>6</v>
      </c>
      <c r="R3910">
        <v>6</v>
      </c>
      <c r="S3910">
        <v>0</v>
      </c>
      <c r="T3910">
        <v>0</v>
      </c>
      <c r="U3910">
        <v>0</v>
      </c>
      <c r="V3910">
        <v>0</v>
      </c>
      <c r="W3910">
        <v>0</v>
      </c>
      <c r="X3910">
        <v>0</v>
      </c>
      <c r="Y3910">
        <v>6</v>
      </c>
      <c r="Z3910">
        <v>0</v>
      </c>
      <c r="AA3910">
        <v>0</v>
      </c>
      <c r="AC3910">
        <v>14</v>
      </c>
    </row>
    <row r="3911" spans="1:29">
      <c r="A3911">
        <v>3904</v>
      </c>
      <c r="B3911">
        <v>4762</v>
      </c>
      <c r="C3911" t="s">
        <v>7965</v>
      </c>
      <c r="D3911" t="s">
        <v>130</v>
      </c>
      <c r="E3911" t="s">
        <v>15</v>
      </c>
      <c r="F3911" t="s">
        <v>7966</v>
      </c>
      <c r="G3911" t="str">
        <f>"00866835"</f>
        <v>00866835</v>
      </c>
      <c r="H3911">
        <v>7.2</v>
      </c>
      <c r="I3911">
        <v>0</v>
      </c>
      <c r="M3911">
        <v>0</v>
      </c>
      <c r="N3911">
        <v>0</v>
      </c>
      <c r="O3911">
        <v>0</v>
      </c>
      <c r="P3911">
        <v>7.2</v>
      </c>
      <c r="Q3911">
        <v>0</v>
      </c>
      <c r="R3911">
        <v>0</v>
      </c>
      <c r="S3911">
        <v>0</v>
      </c>
      <c r="T3911">
        <v>0</v>
      </c>
      <c r="U3911">
        <v>0</v>
      </c>
      <c r="V3911">
        <v>0</v>
      </c>
      <c r="W3911">
        <v>0</v>
      </c>
      <c r="X3911">
        <v>0</v>
      </c>
      <c r="Y3911">
        <v>0</v>
      </c>
      <c r="Z3911">
        <v>6</v>
      </c>
      <c r="AA3911">
        <v>0</v>
      </c>
      <c r="AC3911">
        <v>13.2</v>
      </c>
    </row>
    <row r="3912" spans="1:29">
      <c r="A3912">
        <v>3905</v>
      </c>
      <c r="B3912">
        <v>2798</v>
      </c>
      <c r="C3912" t="s">
        <v>7967</v>
      </c>
      <c r="D3912" t="s">
        <v>27</v>
      </c>
      <c r="E3912" t="s">
        <v>115</v>
      </c>
      <c r="F3912" t="s">
        <v>7968</v>
      </c>
      <c r="G3912" t="str">
        <f>"00862206"</f>
        <v>00862206</v>
      </c>
      <c r="H3912">
        <v>7.2</v>
      </c>
      <c r="I3912">
        <v>0</v>
      </c>
      <c r="M3912">
        <v>0</v>
      </c>
      <c r="N3912">
        <v>0</v>
      </c>
      <c r="O3912">
        <v>0</v>
      </c>
      <c r="P3912">
        <v>7.2</v>
      </c>
      <c r="Q3912">
        <v>0</v>
      </c>
      <c r="R3912">
        <v>0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0</v>
      </c>
      <c r="Y3912">
        <v>0</v>
      </c>
      <c r="Z3912">
        <v>6</v>
      </c>
      <c r="AA3912">
        <v>0</v>
      </c>
      <c r="AC3912">
        <v>13.2</v>
      </c>
    </row>
    <row r="3913" spans="1:29">
      <c r="A3913">
        <v>3906</v>
      </c>
      <c r="B3913">
        <v>3944</v>
      </c>
      <c r="C3913" t="s">
        <v>7969</v>
      </c>
      <c r="D3913" t="s">
        <v>24</v>
      </c>
      <c r="E3913" t="s">
        <v>436</v>
      </c>
      <c r="F3913" t="s">
        <v>7970</v>
      </c>
      <c r="G3913" t="str">
        <f>"00523992"</f>
        <v>00523992</v>
      </c>
      <c r="H3913">
        <v>7.2</v>
      </c>
      <c r="I3913">
        <v>0</v>
      </c>
      <c r="M3913">
        <v>0</v>
      </c>
      <c r="N3913">
        <v>0</v>
      </c>
      <c r="O3913">
        <v>0</v>
      </c>
      <c r="P3913">
        <v>7.2</v>
      </c>
      <c r="Q3913">
        <v>0</v>
      </c>
      <c r="R3913">
        <v>0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0</v>
      </c>
      <c r="Y3913">
        <v>0</v>
      </c>
      <c r="Z3913">
        <v>6</v>
      </c>
      <c r="AA3913">
        <v>0</v>
      </c>
      <c r="AC3913">
        <v>13.2</v>
      </c>
    </row>
    <row r="3914" spans="1:29">
      <c r="A3914">
        <v>3907</v>
      </c>
      <c r="B3914">
        <v>845</v>
      </c>
      <c r="C3914" t="s">
        <v>7973</v>
      </c>
      <c r="D3914" t="s">
        <v>27</v>
      </c>
      <c r="E3914" t="s">
        <v>79</v>
      </c>
      <c r="F3914" t="s">
        <v>7974</v>
      </c>
      <c r="G3914" t="str">
        <f>"00854510"</f>
        <v>00854510</v>
      </c>
      <c r="H3914">
        <v>7.2</v>
      </c>
      <c r="I3914">
        <v>0</v>
      </c>
      <c r="M3914">
        <v>0</v>
      </c>
      <c r="N3914">
        <v>0</v>
      </c>
      <c r="O3914">
        <v>0</v>
      </c>
      <c r="P3914">
        <v>7.2</v>
      </c>
      <c r="Q3914">
        <v>0</v>
      </c>
      <c r="R3914">
        <v>0</v>
      </c>
      <c r="S3914">
        <v>0</v>
      </c>
      <c r="T3914">
        <v>0</v>
      </c>
      <c r="U3914">
        <v>0</v>
      </c>
      <c r="V3914">
        <v>0</v>
      </c>
      <c r="W3914">
        <v>0</v>
      </c>
      <c r="X3914">
        <v>0</v>
      </c>
      <c r="Y3914">
        <v>0</v>
      </c>
      <c r="Z3914">
        <v>6</v>
      </c>
      <c r="AA3914">
        <v>0</v>
      </c>
      <c r="AC3914">
        <v>13.2</v>
      </c>
    </row>
    <row r="3915" spans="1:29">
      <c r="A3915">
        <v>3908</v>
      </c>
      <c r="B3915">
        <v>4763</v>
      </c>
      <c r="C3915" t="s">
        <v>6445</v>
      </c>
      <c r="D3915" t="s">
        <v>4816</v>
      </c>
      <c r="E3915" t="s">
        <v>79</v>
      </c>
      <c r="F3915" t="s">
        <v>7964</v>
      </c>
      <c r="G3915" t="str">
        <f>"00865718"</f>
        <v>00865718</v>
      </c>
      <c r="H3915">
        <v>7.2</v>
      </c>
      <c r="I3915">
        <v>0</v>
      </c>
      <c r="M3915">
        <v>0</v>
      </c>
      <c r="N3915">
        <v>0</v>
      </c>
      <c r="O3915">
        <v>0</v>
      </c>
      <c r="P3915">
        <v>7.2</v>
      </c>
      <c r="Q3915">
        <v>0</v>
      </c>
      <c r="R3915">
        <v>0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0</v>
      </c>
      <c r="Y3915">
        <v>0</v>
      </c>
      <c r="Z3915">
        <v>6</v>
      </c>
      <c r="AA3915">
        <v>0</v>
      </c>
      <c r="AC3915">
        <v>13.2</v>
      </c>
    </row>
    <row r="3916" spans="1:29">
      <c r="A3916">
        <v>3909</v>
      </c>
      <c r="B3916">
        <v>4350</v>
      </c>
      <c r="C3916" t="s">
        <v>5800</v>
      </c>
      <c r="D3916" t="s">
        <v>7971</v>
      </c>
      <c r="E3916" t="s">
        <v>36</v>
      </c>
      <c r="F3916" t="s">
        <v>7972</v>
      </c>
      <c r="G3916" t="str">
        <f>"00712974"</f>
        <v>00712974</v>
      </c>
      <c r="H3916">
        <v>7.2</v>
      </c>
      <c r="I3916">
        <v>0</v>
      </c>
      <c r="M3916">
        <v>0</v>
      </c>
      <c r="N3916">
        <v>0</v>
      </c>
      <c r="O3916">
        <v>0</v>
      </c>
      <c r="P3916">
        <v>7.2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  <c r="Y3916">
        <v>0</v>
      </c>
      <c r="Z3916">
        <v>6</v>
      </c>
      <c r="AA3916">
        <v>0</v>
      </c>
      <c r="AC3916">
        <v>13.2</v>
      </c>
    </row>
    <row r="3917" spans="1:29">
      <c r="A3917">
        <v>3910</v>
      </c>
      <c r="B3917">
        <v>2194</v>
      </c>
      <c r="C3917" t="s">
        <v>7998</v>
      </c>
      <c r="D3917" t="s">
        <v>784</v>
      </c>
      <c r="E3917" t="s">
        <v>15</v>
      </c>
      <c r="F3917" t="s">
        <v>7999</v>
      </c>
      <c r="G3917" t="str">
        <f>"00459965"</f>
        <v>00459965</v>
      </c>
      <c r="H3917">
        <v>7.2</v>
      </c>
      <c r="I3917">
        <v>0</v>
      </c>
      <c r="L3917">
        <v>4</v>
      </c>
      <c r="M3917">
        <v>4</v>
      </c>
      <c r="N3917">
        <v>0</v>
      </c>
      <c r="O3917">
        <v>2</v>
      </c>
      <c r="P3917">
        <v>13.2</v>
      </c>
      <c r="Q3917">
        <v>0</v>
      </c>
      <c r="R3917">
        <v>0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0</v>
      </c>
      <c r="Y3917">
        <v>0</v>
      </c>
      <c r="Z3917">
        <v>0</v>
      </c>
      <c r="AA3917">
        <v>0</v>
      </c>
      <c r="AC3917">
        <v>13.2</v>
      </c>
    </row>
    <row r="3918" spans="1:29">
      <c r="A3918">
        <v>3911</v>
      </c>
      <c r="B3918">
        <v>3876</v>
      </c>
      <c r="C3918" t="s">
        <v>4560</v>
      </c>
      <c r="D3918" t="s">
        <v>242</v>
      </c>
      <c r="E3918" t="s">
        <v>79</v>
      </c>
      <c r="F3918" t="s">
        <v>8000</v>
      </c>
      <c r="G3918" t="str">
        <f>"00749021"</f>
        <v>00749021</v>
      </c>
      <c r="H3918">
        <v>7.2</v>
      </c>
      <c r="I3918">
        <v>0</v>
      </c>
      <c r="M3918">
        <v>0</v>
      </c>
      <c r="N3918">
        <v>4</v>
      </c>
      <c r="O3918">
        <v>2</v>
      </c>
      <c r="P3918">
        <v>13.2</v>
      </c>
      <c r="Q3918">
        <v>0</v>
      </c>
      <c r="R3918">
        <v>0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0</v>
      </c>
      <c r="Y3918">
        <v>0</v>
      </c>
      <c r="Z3918">
        <v>0</v>
      </c>
      <c r="AA3918">
        <v>0</v>
      </c>
      <c r="AC3918">
        <v>13.2</v>
      </c>
    </row>
    <row r="3919" spans="1:29">
      <c r="A3919">
        <v>3912</v>
      </c>
      <c r="B3919">
        <v>4731</v>
      </c>
      <c r="C3919" t="s">
        <v>7975</v>
      </c>
      <c r="D3919" t="s">
        <v>7976</v>
      </c>
      <c r="E3919" t="s">
        <v>337</v>
      </c>
      <c r="F3919" t="s">
        <v>7977</v>
      </c>
      <c r="G3919" t="str">
        <f>"00592638"</f>
        <v>00592638</v>
      </c>
      <c r="H3919">
        <v>7.2</v>
      </c>
      <c r="I3919">
        <v>0</v>
      </c>
      <c r="M3919">
        <v>0</v>
      </c>
      <c r="N3919">
        <v>4</v>
      </c>
      <c r="O3919">
        <v>2</v>
      </c>
      <c r="P3919">
        <v>13.2</v>
      </c>
      <c r="Q3919">
        <v>0</v>
      </c>
      <c r="R3919">
        <v>0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0</v>
      </c>
      <c r="Y3919">
        <v>0</v>
      </c>
      <c r="Z3919">
        <v>0</v>
      </c>
      <c r="AA3919">
        <v>0</v>
      </c>
      <c r="AC3919">
        <v>13.2</v>
      </c>
    </row>
    <row r="3920" spans="1:29">
      <c r="A3920">
        <v>3913</v>
      </c>
      <c r="B3920">
        <v>3117</v>
      </c>
      <c r="C3920" t="s">
        <v>7996</v>
      </c>
      <c r="D3920" t="s">
        <v>27</v>
      </c>
      <c r="E3920" t="s">
        <v>304</v>
      </c>
      <c r="F3920" t="s">
        <v>7997</v>
      </c>
      <c r="G3920" t="str">
        <f>"200802003655"</f>
        <v>200802003655</v>
      </c>
      <c r="H3920">
        <v>7.2</v>
      </c>
      <c r="I3920">
        <v>0</v>
      </c>
      <c r="M3920">
        <v>0</v>
      </c>
      <c r="N3920">
        <v>4</v>
      </c>
      <c r="O3920">
        <v>2</v>
      </c>
      <c r="P3920">
        <v>13.2</v>
      </c>
      <c r="Q3920">
        <v>0</v>
      </c>
      <c r="R3920">
        <v>0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0</v>
      </c>
      <c r="Y3920">
        <v>0</v>
      </c>
      <c r="Z3920">
        <v>0</v>
      </c>
      <c r="AA3920">
        <v>0</v>
      </c>
      <c r="AC3920">
        <v>13.2</v>
      </c>
    </row>
    <row r="3921" spans="1:29">
      <c r="A3921">
        <v>3914</v>
      </c>
      <c r="B3921">
        <v>3081</v>
      </c>
      <c r="C3921" t="s">
        <v>7984</v>
      </c>
      <c r="D3921" t="s">
        <v>7985</v>
      </c>
      <c r="E3921" t="s">
        <v>190</v>
      </c>
      <c r="F3921" t="s">
        <v>7986</v>
      </c>
      <c r="G3921" t="str">
        <f>"00864827"</f>
        <v>00864827</v>
      </c>
      <c r="H3921">
        <v>7.2</v>
      </c>
      <c r="I3921">
        <v>0</v>
      </c>
      <c r="M3921">
        <v>0</v>
      </c>
      <c r="N3921">
        <v>4</v>
      </c>
      <c r="O3921">
        <v>2</v>
      </c>
      <c r="P3921">
        <v>13.2</v>
      </c>
      <c r="Q3921">
        <v>0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  <c r="Y3921">
        <v>0</v>
      </c>
      <c r="Z3921">
        <v>0</v>
      </c>
      <c r="AA3921">
        <v>0</v>
      </c>
      <c r="AC3921">
        <v>13.2</v>
      </c>
    </row>
    <row r="3922" spans="1:29">
      <c r="A3922">
        <v>3915</v>
      </c>
      <c r="B3922">
        <v>2543</v>
      </c>
      <c r="C3922" t="s">
        <v>178</v>
      </c>
      <c r="D3922" t="s">
        <v>7994</v>
      </c>
      <c r="E3922" t="s">
        <v>77</v>
      </c>
      <c r="F3922" t="s">
        <v>7995</v>
      </c>
      <c r="G3922" t="str">
        <f>"00860946"</f>
        <v>00860946</v>
      </c>
      <c r="H3922">
        <v>7.2</v>
      </c>
      <c r="I3922">
        <v>0</v>
      </c>
      <c r="M3922">
        <v>0</v>
      </c>
      <c r="N3922">
        <v>4</v>
      </c>
      <c r="O3922">
        <v>2</v>
      </c>
      <c r="P3922">
        <v>13.2</v>
      </c>
      <c r="Q3922">
        <v>0</v>
      </c>
      <c r="R3922">
        <v>0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  <c r="Y3922">
        <v>0</v>
      </c>
      <c r="Z3922">
        <v>0</v>
      </c>
      <c r="AA3922">
        <v>0</v>
      </c>
      <c r="AC3922">
        <v>13.2</v>
      </c>
    </row>
    <row r="3923" spans="1:29">
      <c r="A3923">
        <v>3916</v>
      </c>
      <c r="B3923">
        <v>2531</v>
      </c>
      <c r="C3923" t="s">
        <v>7989</v>
      </c>
      <c r="D3923" t="s">
        <v>7990</v>
      </c>
      <c r="E3923" t="s">
        <v>134</v>
      </c>
      <c r="F3923" t="s">
        <v>7991</v>
      </c>
      <c r="G3923" t="str">
        <f>"00854932"</f>
        <v>00854932</v>
      </c>
      <c r="H3923">
        <v>7.2</v>
      </c>
      <c r="I3923">
        <v>0</v>
      </c>
      <c r="M3923">
        <v>0</v>
      </c>
      <c r="N3923">
        <v>4</v>
      </c>
      <c r="O3923">
        <v>2</v>
      </c>
      <c r="P3923">
        <v>13.2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0</v>
      </c>
      <c r="X3923">
        <v>0</v>
      </c>
      <c r="Y3923">
        <v>0</v>
      </c>
      <c r="Z3923">
        <v>0</v>
      </c>
      <c r="AA3923">
        <v>0</v>
      </c>
      <c r="AC3923">
        <v>13.2</v>
      </c>
    </row>
    <row r="3924" spans="1:29">
      <c r="A3924">
        <v>3917</v>
      </c>
      <c r="B3924">
        <v>2451</v>
      </c>
      <c r="C3924" t="s">
        <v>7980</v>
      </c>
      <c r="D3924" t="s">
        <v>7981</v>
      </c>
      <c r="E3924" t="s">
        <v>7982</v>
      </c>
      <c r="F3924" t="s">
        <v>7983</v>
      </c>
      <c r="G3924" t="str">
        <f>"00857575"</f>
        <v>00857575</v>
      </c>
      <c r="H3924">
        <v>7.2</v>
      </c>
      <c r="I3924">
        <v>0</v>
      </c>
      <c r="M3924">
        <v>0</v>
      </c>
      <c r="N3924">
        <v>4</v>
      </c>
      <c r="O3924">
        <v>2</v>
      </c>
      <c r="P3924">
        <v>13.2</v>
      </c>
      <c r="Q3924">
        <v>0</v>
      </c>
      <c r="R3924">
        <v>0</v>
      </c>
      <c r="S3924">
        <v>0</v>
      </c>
      <c r="T3924">
        <v>0</v>
      </c>
      <c r="U3924">
        <v>0</v>
      </c>
      <c r="V3924">
        <v>0</v>
      </c>
      <c r="W3924">
        <v>0</v>
      </c>
      <c r="X3924">
        <v>0</v>
      </c>
      <c r="Y3924">
        <v>0</v>
      </c>
      <c r="Z3924">
        <v>0</v>
      </c>
      <c r="AA3924">
        <v>0</v>
      </c>
      <c r="AC3924">
        <v>13.2</v>
      </c>
    </row>
    <row r="3925" spans="1:29">
      <c r="A3925">
        <v>3918</v>
      </c>
      <c r="B3925">
        <v>3351</v>
      </c>
      <c r="C3925" t="s">
        <v>7987</v>
      </c>
      <c r="D3925" t="s">
        <v>35</v>
      </c>
      <c r="E3925" t="s">
        <v>15</v>
      </c>
      <c r="F3925" t="s">
        <v>7988</v>
      </c>
      <c r="G3925" t="str">
        <f>"00859553"</f>
        <v>00859553</v>
      </c>
      <c r="H3925">
        <v>7.2</v>
      </c>
      <c r="I3925">
        <v>0</v>
      </c>
      <c r="L3925">
        <v>4</v>
      </c>
      <c r="M3925">
        <v>4</v>
      </c>
      <c r="N3925">
        <v>0</v>
      </c>
      <c r="O3925">
        <v>2</v>
      </c>
      <c r="P3925">
        <v>13.2</v>
      </c>
      <c r="Q3925">
        <v>0</v>
      </c>
      <c r="R3925">
        <v>0</v>
      </c>
      <c r="S3925">
        <v>0</v>
      </c>
      <c r="T3925">
        <v>0</v>
      </c>
      <c r="U3925">
        <v>0</v>
      </c>
      <c r="V3925">
        <v>0</v>
      </c>
      <c r="W3925">
        <v>0</v>
      </c>
      <c r="X3925">
        <v>0</v>
      </c>
      <c r="Y3925">
        <v>0</v>
      </c>
      <c r="Z3925">
        <v>0</v>
      </c>
      <c r="AA3925">
        <v>0</v>
      </c>
      <c r="AC3925">
        <v>13.2</v>
      </c>
    </row>
    <row r="3926" spans="1:29">
      <c r="A3926">
        <v>3919</v>
      </c>
      <c r="B3926">
        <v>4960</v>
      </c>
      <c r="C3926" t="s">
        <v>7978</v>
      </c>
      <c r="D3926" t="s">
        <v>820</v>
      </c>
      <c r="E3926" t="s">
        <v>36</v>
      </c>
      <c r="F3926" t="s">
        <v>7979</v>
      </c>
      <c r="G3926" t="str">
        <f>"00866787"</f>
        <v>00866787</v>
      </c>
      <c r="H3926">
        <v>7.2</v>
      </c>
      <c r="I3926">
        <v>0</v>
      </c>
      <c r="M3926">
        <v>0</v>
      </c>
      <c r="N3926">
        <v>4</v>
      </c>
      <c r="O3926">
        <v>2</v>
      </c>
      <c r="P3926">
        <v>13.2</v>
      </c>
      <c r="Q3926">
        <v>0</v>
      </c>
      <c r="R3926">
        <v>0</v>
      </c>
      <c r="S3926">
        <v>0</v>
      </c>
      <c r="T3926">
        <v>0</v>
      </c>
      <c r="U3926">
        <v>0</v>
      </c>
      <c r="V3926">
        <v>0</v>
      </c>
      <c r="W3926">
        <v>0</v>
      </c>
      <c r="X3926">
        <v>0</v>
      </c>
      <c r="Y3926">
        <v>0</v>
      </c>
      <c r="Z3926">
        <v>0</v>
      </c>
      <c r="AA3926">
        <v>0</v>
      </c>
      <c r="AC3926">
        <v>13.2</v>
      </c>
    </row>
    <row r="3927" spans="1:29">
      <c r="A3927">
        <v>3920</v>
      </c>
      <c r="B3927">
        <v>1720</v>
      </c>
      <c r="C3927" t="s">
        <v>7992</v>
      </c>
      <c r="D3927" t="s">
        <v>159</v>
      </c>
      <c r="E3927" t="s">
        <v>89</v>
      </c>
      <c r="F3927" t="s">
        <v>7993</v>
      </c>
      <c r="G3927" t="str">
        <f>"00530506"</f>
        <v>00530506</v>
      </c>
      <c r="H3927">
        <v>7.2</v>
      </c>
      <c r="I3927">
        <v>0</v>
      </c>
      <c r="M3927">
        <v>0</v>
      </c>
      <c r="N3927">
        <v>4</v>
      </c>
      <c r="O3927">
        <v>2</v>
      </c>
      <c r="P3927">
        <v>13.2</v>
      </c>
      <c r="Q3927">
        <v>0</v>
      </c>
      <c r="R3927">
        <v>0</v>
      </c>
      <c r="S3927">
        <v>0</v>
      </c>
      <c r="T3927">
        <v>0</v>
      </c>
      <c r="U3927">
        <v>0</v>
      </c>
      <c r="V3927">
        <v>0</v>
      </c>
      <c r="W3927">
        <v>0</v>
      </c>
      <c r="X3927">
        <v>0</v>
      </c>
      <c r="Y3927">
        <v>0</v>
      </c>
      <c r="Z3927">
        <v>0</v>
      </c>
      <c r="AA3927">
        <v>0</v>
      </c>
      <c r="AC3927">
        <v>13.2</v>
      </c>
    </row>
    <row r="3928" spans="1:29">
      <c r="A3928">
        <v>3921</v>
      </c>
      <c r="B3928">
        <v>2138</v>
      </c>
      <c r="C3928" t="s">
        <v>2246</v>
      </c>
      <c r="D3928" t="s">
        <v>27</v>
      </c>
      <c r="E3928" t="s">
        <v>15</v>
      </c>
      <c r="F3928" t="s">
        <v>8001</v>
      </c>
      <c r="G3928" t="str">
        <f>"00524346"</f>
        <v>00524346</v>
      </c>
      <c r="H3928">
        <v>0</v>
      </c>
      <c r="I3928">
        <v>0</v>
      </c>
      <c r="L3928">
        <v>4</v>
      </c>
      <c r="M3928">
        <v>4</v>
      </c>
      <c r="N3928">
        <v>4</v>
      </c>
      <c r="O3928">
        <v>2</v>
      </c>
      <c r="P3928">
        <v>10</v>
      </c>
      <c r="Q3928">
        <v>0</v>
      </c>
      <c r="R3928">
        <v>0</v>
      </c>
      <c r="S3928">
        <v>0</v>
      </c>
      <c r="T3928">
        <v>0</v>
      </c>
      <c r="U3928">
        <v>0</v>
      </c>
      <c r="V3928">
        <v>0</v>
      </c>
      <c r="W3928">
        <v>0</v>
      </c>
      <c r="X3928">
        <v>0</v>
      </c>
      <c r="Y3928">
        <v>0</v>
      </c>
      <c r="Z3928">
        <v>3</v>
      </c>
      <c r="AA3928">
        <v>0</v>
      </c>
      <c r="AC3928">
        <v>13</v>
      </c>
    </row>
    <row r="3929" spans="1:29">
      <c r="A3929">
        <v>3922</v>
      </c>
      <c r="B3929">
        <v>538</v>
      </c>
      <c r="C3929" t="s">
        <v>3419</v>
      </c>
      <c r="D3929" t="s">
        <v>4386</v>
      </c>
      <c r="E3929" t="s">
        <v>233</v>
      </c>
      <c r="F3929" t="s">
        <v>8002</v>
      </c>
      <c r="G3929" t="str">
        <f>"201511012813"</f>
        <v>201511012813</v>
      </c>
      <c r="H3929">
        <v>0</v>
      </c>
      <c r="I3929">
        <v>0</v>
      </c>
      <c r="L3929">
        <v>4</v>
      </c>
      <c r="M3929">
        <v>4</v>
      </c>
      <c r="N3929">
        <v>4</v>
      </c>
      <c r="O3929">
        <v>2</v>
      </c>
      <c r="P3929">
        <v>10</v>
      </c>
      <c r="Q3929">
        <v>0</v>
      </c>
      <c r="R3929">
        <v>0</v>
      </c>
      <c r="S3929">
        <v>0</v>
      </c>
      <c r="T3929">
        <v>0</v>
      </c>
      <c r="U3929">
        <v>0</v>
      </c>
      <c r="V3929">
        <v>0</v>
      </c>
      <c r="W3929">
        <v>0</v>
      </c>
      <c r="X3929">
        <v>0</v>
      </c>
      <c r="Y3929">
        <v>0</v>
      </c>
      <c r="Z3929">
        <v>3</v>
      </c>
      <c r="AA3929">
        <v>0</v>
      </c>
      <c r="AC3929">
        <v>13</v>
      </c>
    </row>
    <row r="3930" spans="1:29">
      <c r="A3930">
        <v>3923</v>
      </c>
      <c r="B3930">
        <v>2608</v>
      </c>
      <c r="C3930" t="s">
        <v>8003</v>
      </c>
      <c r="D3930" t="s">
        <v>5268</v>
      </c>
      <c r="E3930" t="s">
        <v>18</v>
      </c>
      <c r="F3930" t="s">
        <v>8004</v>
      </c>
      <c r="G3930" t="str">
        <f>"00862505"</f>
        <v>00862505</v>
      </c>
      <c r="H3930">
        <v>12.8</v>
      </c>
      <c r="I3930">
        <v>0</v>
      </c>
      <c r="M3930">
        <v>0</v>
      </c>
      <c r="N3930">
        <v>0</v>
      </c>
      <c r="O3930">
        <v>0</v>
      </c>
      <c r="P3930">
        <v>12.8</v>
      </c>
      <c r="Q3930">
        <v>0</v>
      </c>
      <c r="R3930">
        <v>0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0</v>
      </c>
      <c r="Y3930">
        <v>0</v>
      </c>
      <c r="Z3930">
        <v>0</v>
      </c>
      <c r="AA3930">
        <v>0</v>
      </c>
      <c r="AC3930">
        <v>12.8</v>
      </c>
    </row>
    <row r="3931" spans="1:29">
      <c r="A3931">
        <v>3924</v>
      </c>
      <c r="B3931">
        <v>4723</v>
      </c>
      <c r="C3931" t="s">
        <v>2827</v>
      </c>
      <c r="D3931" t="s">
        <v>27</v>
      </c>
      <c r="E3931" t="s">
        <v>15</v>
      </c>
      <c r="F3931" t="s">
        <v>8005</v>
      </c>
      <c r="G3931" t="str">
        <f>"00865675"</f>
        <v>00865675</v>
      </c>
      <c r="H3931">
        <v>12.72</v>
      </c>
      <c r="I3931">
        <v>0</v>
      </c>
      <c r="M3931">
        <v>0</v>
      </c>
      <c r="N3931">
        <v>0</v>
      </c>
      <c r="O3931">
        <v>0</v>
      </c>
      <c r="P3931">
        <v>12.72</v>
      </c>
      <c r="Q3931">
        <v>0</v>
      </c>
      <c r="R3931">
        <v>0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0</v>
      </c>
      <c r="Y3931">
        <v>0</v>
      </c>
      <c r="Z3931">
        <v>0</v>
      </c>
      <c r="AA3931">
        <v>0</v>
      </c>
      <c r="AC3931">
        <v>12.72</v>
      </c>
    </row>
    <row r="3932" spans="1:29">
      <c r="A3932">
        <v>3925</v>
      </c>
      <c r="B3932">
        <v>2842</v>
      </c>
      <c r="C3932" t="s">
        <v>8006</v>
      </c>
      <c r="D3932" t="s">
        <v>52</v>
      </c>
      <c r="E3932" t="s">
        <v>134</v>
      </c>
      <c r="F3932" t="s">
        <v>8007</v>
      </c>
      <c r="G3932" t="str">
        <f>"00863586"</f>
        <v>00863586</v>
      </c>
      <c r="H3932">
        <v>12.4</v>
      </c>
      <c r="I3932">
        <v>0</v>
      </c>
      <c r="M3932">
        <v>0</v>
      </c>
      <c r="N3932">
        <v>0</v>
      </c>
      <c r="O3932">
        <v>0</v>
      </c>
      <c r="P3932">
        <v>12.4</v>
      </c>
      <c r="Q3932">
        <v>0</v>
      </c>
      <c r="R3932">
        <v>0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0</v>
      </c>
      <c r="Y3932">
        <v>0</v>
      </c>
      <c r="Z3932">
        <v>0</v>
      </c>
      <c r="AA3932">
        <v>0</v>
      </c>
      <c r="AC3932">
        <v>12.4</v>
      </c>
    </row>
    <row r="3933" spans="1:29">
      <c r="A3933">
        <v>3926</v>
      </c>
      <c r="B3933">
        <v>3419</v>
      </c>
      <c r="C3933" t="s">
        <v>5791</v>
      </c>
      <c r="D3933" t="s">
        <v>205</v>
      </c>
      <c r="E3933" t="s">
        <v>889</v>
      </c>
      <c r="F3933" t="s">
        <v>8008</v>
      </c>
      <c r="G3933" t="str">
        <f>"00328862"</f>
        <v>00328862</v>
      </c>
      <c r="H3933">
        <v>8.2799999999999994</v>
      </c>
      <c r="I3933">
        <v>0</v>
      </c>
      <c r="M3933">
        <v>0</v>
      </c>
      <c r="N3933">
        <v>4</v>
      </c>
      <c r="O3933">
        <v>0</v>
      </c>
      <c r="P3933">
        <v>12.28</v>
      </c>
      <c r="Q3933">
        <v>0</v>
      </c>
      <c r="R3933">
        <v>0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0</v>
      </c>
      <c r="Y3933">
        <v>0</v>
      </c>
      <c r="Z3933">
        <v>0</v>
      </c>
      <c r="AA3933">
        <v>0</v>
      </c>
      <c r="AC3933">
        <v>12.28</v>
      </c>
    </row>
    <row r="3934" spans="1:29">
      <c r="A3934">
        <v>3927</v>
      </c>
      <c r="B3934">
        <v>2483</v>
      </c>
      <c r="C3934" t="s">
        <v>1286</v>
      </c>
      <c r="D3934" t="s">
        <v>8011</v>
      </c>
      <c r="E3934" t="s">
        <v>79</v>
      </c>
      <c r="F3934" t="s">
        <v>8012</v>
      </c>
      <c r="G3934" t="str">
        <f>"00862413"</f>
        <v>00862413</v>
      </c>
      <c r="H3934">
        <v>0</v>
      </c>
      <c r="I3934">
        <v>0</v>
      </c>
      <c r="M3934">
        <v>0</v>
      </c>
      <c r="N3934">
        <v>4</v>
      </c>
      <c r="O3934">
        <v>2</v>
      </c>
      <c r="P3934">
        <v>6</v>
      </c>
      <c r="Q3934">
        <v>0</v>
      </c>
      <c r="R3934">
        <v>0</v>
      </c>
      <c r="S3934">
        <v>0</v>
      </c>
      <c r="T3934">
        <v>0</v>
      </c>
      <c r="U3934">
        <v>0</v>
      </c>
      <c r="V3934">
        <v>0</v>
      </c>
      <c r="W3934">
        <v>0</v>
      </c>
      <c r="X3934">
        <v>0</v>
      </c>
      <c r="Y3934">
        <v>0</v>
      </c>
      <c r="Z3934">
        <v>6</v>
      </c>
      <c r="AA3934">
        <v>0</v>
      </c>
      <c r="AC3934">
        <v>12</v>
      </c>
    </row>
    <row r="3935" spans="1:29">
      <c r="A3935">
        <v>3928</v>
      </c>
      <c r="B3935">
        <v>2094</v>
      </c>
      <c r="C3935" t="s">
        <v>8009</v>
      </c>
      <c r="D3935" t="s">
        <v>4262</v>
      </c>
      <c r="E3935" t="s">
        <v>53</v>
      </c>
      <c r="F3935" t="s">
        <v>8010</v>
      </c>
      <c r="G3935" t="str">
        <f>"00861992"</f>
        <v>00861992</v>
      </c>
      <c r="H3935">
        <v>0</v>
      </c>
      <c r="I3935">
        <v>0</v>
      </c>
      <c r="M3935">
        <v>0</v>
      </c>
      <c r="N3935">
        <v>4</v>
      </c>
      <c r="O3935">
        <v>2</v>
      </c>
      <c r="P3935">
        <v>6</v>
      </c>
      <c r="Q3935">
        <v>0</v>
      </c>
      <c r="R3935">
        <v>0</v>
      </c>
      <c r="S3935">
        <v>0</v>
      </c>
      <c r="T3935">
        <v>0</v>
      </c>
      <c r="U3935">
        <v>0</v>
      </c>
      <c r="V3935">
        <v>0</v>
      </c>
      <c r="W3935">
        <v>0</v>
      </c>
      <c r="X3935">
        <v>0</v>
      </c>
      <c r="Y3935">
        <v>0</v>
      </c>
      <c r="Z3935">
        <v>6</v>
      </c>
      <c r="AA3935">
        <v>0</v>
      </c>
      <c r="AC3935">
        <v>12</v>
      </c>
    </row>
    <row r="3936" spans="1:29">
      <c r="A3936">
        <v>3929</v>
      </c>
      <c r="B3936">
        <v>1910</v>
      </c>
      <c r="C3936" t="s">
        <v>8013</v>
      </c>
      <c r="D3936" t="s">
        <v>27</v>
      </c>
      <c r="E3936" t="s">
        <v>237</v>
      </c>
      <c r="F3936" t="s">
        <v>8014</v>
      </c>
      <c r="G3936" t="str">
        <f>"00859731"</f>
        <v>00859731</v>
      </c>
      <c r="H3936">
        <v>12</v>
      </c>
      <c r="I3936">
        <v>0</v>
      </c>
      <c r="M3936">
        <v>0</v>
      </c>
      <c r="N3936">
        <v>0</v>
      </c>
      <c r="O3936">
        <v>0</v>
      </c>
      <c r="P3936">
        <v>12</v>
      </c>
      <c r="Q3936">
        <v>0</v>
      </c>
      <c r="R3936">
        <v>0</v>
      </c>
      <c r="S3936">
        <v>0</v>
      </c>
      <c r="T3936">
        <v>0</v>
      </c>
      <c r="U3936">
        <v>0</v>
      </c>
      <c r="V3936">
        <v>0</v>
      </c>
      <c r="W3936">
        <v>0</v>
      </c>
      <c r="X3936">
        <v>0</v>
      </c>
      <c r="Y3936">
        <v>0</v>
      </c>
      <c r="Z3936">
        <v>0</v>
      </c>
      <c r="AA3936">
        <v>0</v>
      </c>
      <c r="AC3936">
        <v>12</v>
      </c>
    </row>
    <row r="3937" spans="1:29">
      <c r="A3937">
        <v>3930</v>
      </c>
      <c r="B3937">
        <v>1131</v>
      </c>
      <c r="C3937" t="s">
        <v>8019</v>
      </c>
      <c r="D3937" t="s">
        <v>27</v>
      </c>
      <c r="E3937" t="s">
        <v>79</v>
      </c>
      <c r="F3937" t="s">
        <v>8020</v>
      </c>
      <c r="G3937" t="str">
        <f>"00531378"</f>
        <v>00531378</v>
      </c>
      <c r="H3937">
        <v>0</v>
      </c>
      <c r="I3937">
        <v>0</v>
      </c>
      <c r="J3937">
        <v>8</v>
      </c>
      <c r="M3937">
        <v>8</v>
      </c>
      <c r="N3937">
        <v>4</v>
      </c>
      <c r="O3937">
        <v>0</v>
      </c>
      <c r="P3937">
        <v>12</v>
      </c>
      <c r="Q3937">
        <v>0</v>
      </c>
      <c r="R3937">
        <v>0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0</v>
      </c>
      <c r="Y3937">
        <v>0</v>
      </c>
      <c r="Z3937">
        <v>0</v>
      </c>
      <c r="AA3937">
        <v>0</v>
      </c>
      <c r="AC3937">
        <v>12</v>
      </c>
    </row>
    <row r="3938" spans="1:29">
      <c r="A3938">
        <v>3931</v>
      </c>
      <c r="B3938">
        <v>1590</v>
      </c>
      <c r="C3938" t="s">
        <v>1360</v>
      </c>
      <c r="D3938" t="s">
        <v>27</v>
      </c>
      <c r="E3938" t="s">
        <v>379</v>
      </c>
      <c r="F3938" t="s">
        <v>8018</v>
      </c>
      <c r="G3938" t="str">
        <f>"00765034"</f>
        <v>00765034</v>
      </c>
      <c r="H3938">
        <v>0</v>
      </c>
      <c r="I3938">
        <v>0</v>
      </c>
      <c r="K3938">
        <v>6</v>
      </c>
      <c r="M3938">
        <v>6</v>
      </c>
      <c r="N3938">
        <v>4</v>
      </c>
      <c r="O3938">
        <v>2</v>
      </c>
      <c r="P3938">
        <v>12</v>
      </c>
      <c r="Q3938">
        <v>0</v>
      </c>
      <c r="R3938">
        <v>0</v>
      </c>
      <c r="S3938">
        <v>0</v>
      </c>
      <c r="T3938">
        <v>0</v>
      </c>
      <c r="U3938">
        <v>0</v>
      </c>
      <c r="V3938">
        <v>0</v>
      </c>
      <c r="W3938">
        <v>0</v>
      </c>
      <c r="X3938">
        <v>0</v>
      </c>
      <c r="Y3938">
        <v>0</v>
      </c>
      <c r="Z3938">
        <v>0</v>
      </c>
      <c r="AA3938">
        <v>0</v>
      </c>
      <c r="AC3938">
        <v>12</v>
      </c>
    </row>
    <row r="3939" spans="1:29">
      <c r="A3939">
        <v>3932</v>
      </c>
      <c r="B3939">
        <v>839</v>
      </c>
      <c r="C3939" t="s">
        <v>8021</v>
      </c>
      <c r="D3939" t="s">
        <v>86</v>
      </c>
      <c r="E3939" t="s">
        <v>32</v>
      </c>
      <c r="F3939" t="s">
        <v>8022</v>
      </c>
      <c r="G3939" t="str">
        <f>"00680256"</f>
        <v>00680256</v>
      </c>
      <c r="H3939">
        <v>0</v>
      </c>
      <c r="I3939">
        <v>0</v>
      </c>
      <c r="J3939">
        <v>8</v>
      </c>
      <c r="M3939">
        <v>8</v>
      </c>
      <c r="N3939">
        <v>4</v>
      </c>
      <c r="O3939">
        <v>0</v>
      </c>
      <c r="P3939">
        <v>12</v>
      </c>
      <c r="Q3939">
        <v>0</v>
      </c>
      <c r="R3939">
        <v>0</v>
      </c>
      <c r="S3939">
        <v>0</v>
      </c>
      <c r="T3939">
        <v>0</v>
      </c>
      <c r="U3939">
        <v>0</v>
      </c>
      <c r="V3939">
        <v>0</v>
      </c>
      <c r="W3939">
        <v>0</v>
      </c>
      <c r="X3939">
        <v>0</v>
      </c>
      <c r="Y3939">
        <v>0</v>
      </c>
      <c r="Z3939">
        <v>0</v>
      </c>
      <c r="AA3939">
        <v>0</v>
      </c>
      <c r="AC3939">
        <v>12</v>
      </c>
    </row>
    <row r="3940" spans="1:29">
      <c r="A3940">
        <v>3933</v>
      </c>
      <c r="B3940">
        <v>3546</v>
      </c>
      <c r="C3940" t="s">
        <v>428</v>
      </c>
      <c r="D3940" t="s">
        <v>1275</v>
      </c>
      <c r="E3940" t="s">
        <v>369</v>
      </c>
      <c r="F3940" t="s">
        <v>8015</v>
      </c>
      <c r="G3940" t="str">
        <f>"00527963"</f>
        <v>00527963</v>
      </c>
      <c r="H3940">
        <v>0</v>
      </c>
      <c r="I3940">
        <v>0</v>
      </c>
      <c r="J3940">
        <v>8</v>
      </c>
      <c r="M3940">
        <v>8</v>
      </c>
      <c r="N3940">
        <v>4</v>
      </c>
      <c r="O3940">
        <v>0</v>
      </c>
      <c r="P3940">
        <v>12</v>
      </c>
      <c r="Q3940">
        <v>0</v>
      </c>
      <c r="R3940">
        <v>0</v>
      </c>
      <c r="S3940">
        <v>0</v>
      </c>
      <c r="T3940">
        <v>0</v>
      </c>
      <c r="U3940">
        <v>0</v>
      </c>
      <c r="V3940">
        <v>0</v>
      </c>
      <c r="W3940">
        <v>0</v>
      </c>
      <c r="X3940">
        <v>0</v>
      </c>
      <c r="Y3940">
        <v>0</v>
      </c>
      <c r="Z3940">
        <v>0</v>
      </c>
      <c r="AA3940">
        <v>0</v>
      </c>
      <c r="AC3940">
        <v>12</v>
      </c>
    </row>
    <row r="3941" spans="1:29">
      <c r="A3941">
        <v>3934</v>
      </c>
      <c r="B3941">
        <v>4686</v>
      </c>
      <c r="C3941" t="s">
        <v>8016</v>
      </c>
      <c r="D3941" t="s">
        <v>35</v>
      </c>
      <c r="E3941" t="s">
        <v>304</v>
      </c>
      <c r="F3941" t="s">
        <v>8017</v>
      </c>
      <c r="G3941" t="str">
        <f>"00521787"</f>
        <v>00521787</v>
      </c>
      <c r="H3941">
        <v>0</v>
      </c>
      <c r="I3941">
        <v>0</v>
      </c>
      <c r="J3941">
        <v>8</v>
      </c>
      <c r="M3941">
        <v>8</v>
      </c>
      <c r="N3941">
        <v>4</v>
      </c>
      <c r="O3941">
        <v>0</v>
      </c>
      <c r="P3941">
        <v>12</v>
      </c>
      <c r="Q3941">
        <v>0</v>
      </c>
      <c r="R3941">
        <v>0</v>
      </c>
      <c r="S3941">
        <v>0</v>
      </c>
      <c r="T3941">
        <v>0</v>
      </c>
      <c r="U3941">
        <v>0</v>
      </c>
      <c r="V3941">
        <v>0</v>
      </c>
      <c r="W3941">
        <v>0</v>
      </c>
      <c r="X3941">
        <v>0</v>
      </c>
      <c r="Y3941">
        <v>0</v>
      </c>
      <c r="Z3941">
        <v>0</v>
      </c>
      <c r="AA3941">
        <v>0</v>
      </c>
      <c r="AC3941">
        <v>12</v>
      </c>
    </row>
    <row r="3942" spans="1:29">
      <c r="A3942">
        <v>3935</v>
      </c>
      <c r="B3942">
        <v>827</v>
      </c>
      <c r="C3942" t="s">
        <v>8023</v>
      </c>
      <c r="D3942" t="s">
        <v>251</v>
      </c>
      <c r="E3942" t="s">
        <v>79</v>
      </c>
      <c r="F3942" t="s">
        <v>8024</v>
      </c>
      <c r="G3942" t="str">
        <f>"00774989"</f>
        <v>00774989</v>
      </c>
      <c r="H3942">
        <v>0</v>
      </c>
      <c r="I3942">
        <v>0</v>
      </c>
      <c r="J3942">
        <v>8</v>
      </c>
      <c r="M3942">
        <v>8</v>
      </c>
      <c r="N3942">
        <v>4</v>
      </c>
      <c r="O3942">
        <v>0</v>
      </c>
      <c r="P3942">
        <v>12</v>
      </c>
      <c r="Q3942">
        <v>0</v>
      </c>
      <c r="R3942">
        <v>0</v>
      </c>
      <c r="S3942">
        <v>0</v>
      </c>
      <c r="T3942">
        <v>0</v>
      </c>
      <c r="U3942">
        <v>0</v>
      </c>
      <c r="V3942">
        <v>0</v>
      </c>
      <c r="W3942">
        <v>0</v>
      </c>
      <c r="X3942">
        <v>0</v>
      </c>
      <c r="Y3942">
        <v>0</v>
      </c>
      <c r="Z3942">
        <v>0</v>
      </c>
      <c r="AA3942">
        <v>0</v>
      </c>
      <c r="AC3942">
        <v>12</v>
      </c>
    </row>
    <row r="3943" spans="1:29">
      <c r="A3943">
        <v>3936</v>
      </c>
      <c r="B3943">
        <v>1253</v>
      </c>
      <c r="C3943" t="s">
        <v>8025</v>
      </c>
      <c r="D3943" t="s">
        <v>52</v>
      </c>
      <c r="E3943" t="s">
        <v>647</v>
      </c>
      <c r="F3943" t="s">
        <v>8026</v>
      </c>
      <c r="G3943" t="str">
        <f>"00507345"</f>
        <v>00507345</v>
      </c>
      <c r="H3943">
        <v>0</v>
      </c>
      <c r="I3943">
        <v>0</v>
      </c>
      <c r="M3943">
        <v>0</v>
      </c>
      <c r="N3943">
        <v>4</v>
      </c>
      <c r="O3943">
        <v>0</v>
      </c>
      <c r="P3943">
        <v>4</v>
      </c>
      <c r="Q3943">
        <v>0</v>
      </c>
      <c r="R3943">
        <v>0</v>
      </c>
      <c r="S3943">
        <v>4</v>
      </c>
      <c r="T3943">
        <v>8</v>
      </c>
      <c r="U3943">
        <v>0</v>
      </c>
      <c r="V3943">
        <v>0</v>
      </c>
      <c r="W3943">
        <v>0</v>
      </c>
      <c r="X3943">
        <v>0</v>
      </c>
      <c r="Y3943">
        <v>8</v>
      </c>
      <c r="Z3943">
        <v>0</v>
      </c>
      <c r="AA3943">
        <v>0</v>
      </c>
      <c r="AC3943">
        <v>12</v>
      </c>
    </row>
    <row r="3944" spans="1:29">
      <c r="A3944">
        <v>3937</v>
      </c>
      <c r="B3944">
        <v>2730</v>
      </c>
      <c r="C3944" t="s">
        <v>8027</v>
      </c>
      <c r="D3944" t="s">
        <v>185</v>
      </c>
      <c r="E3944" t="s">
        <v>134</v>
      </c>
      <c r="F3944" t="s">
        <v>8028</v>
      </c>
      <c r="G3944" t="str">
        <f>"00859584"</f>
        <v>00859584</v>
      </c>
      <c r="H3944">
        <v>11.6</v>
      </c>
      <c r="I3944">
        <v>0</v>
      </c>
      <c r="M3944">
        <v>0</v>
      </c>
      <c r="N3944">
        <v>0</v>
      </c>
      <c r="O3944">
        <v>0</v>
      </c>
      <c r="P3944">
        <v>11.6</v>
      </c>
      <c r="Q3944">
        <v>0</v>
      </c>
      <c r="R3944">
        <v>0</v>
      </c>
      <c r="S3944">
        <v>0</v>
      </c>
      <c r="T3944">
        <v>0</v>
      </c>
      <c r="U3944">
        <v>0</v>
      </c>
      <c r="V3944">
        <v>0</v>
      </c>
      <c r="W3944">
        <v>0</v>
      </c>
      <c r="X3944">
        <v>0</v>
      </c>
      <c r="Y3944">
        <v>0</v>
      </c>
      <c r="Z3944">
        <v>0</v>
      </c>
      <c r="AA3944">
        <v>0</v>
      </c>
      <c r="AC3944">
        <v>11.6</v>
      </c>
    </row>
    <row r="3945" spans="1:29">
      <c r="A3945">
        <v>3938</v>
      </c>
      <c r="B3945">
        <v>1944</v>
      </c>
      <c r="C3945" t="s">
        <v>8029</v>
      </c>
      <c r="D3945" t="s">
        <v>8030</v>
      </c>
      <c r="E3945" t="s">
        <v>165</v>
      </c>
      <c r="F3945" t="s">
        <v>8031</v>
      </c>
      <c r="G3945" t="str">
        <f>"00687776"</f>
        <v>00687776</v>
      </c>
      <c r="H3945">
        <v>11.6</v>
      </c>
      <c r="I3945">
        <v>0</v>
      </c>
      <c r="M3945">
        <v>0</v>
      </c>
      <c r="N3945">
        <v>0</v>
      </c>
      <c r="O3945">
        <v>0</v>
      </c>
      <c r="P3945">
        <v>11.6</v>
      </c>
      <c r="Q3945">
        <v>0</v>
      </c>
      <c r="R3945">
        <v>0</v>
      </c>
      <c r="S3945">
        <v>0</v>
      </c>
      <c r="T3945">
        <v>0</v>
      </c>
      <c r="U3945">
        <v>0</v>
      </c>
      <c r="V3945">
        <v>0</v>
      </c>
      <c r="W3945">
        <v>0</v>
      </c>
      <c r="X3945">
        <v>0</v>
      </c>
      <c r="Y3945">
        <v>0</v>
      </c>
      <c r="Z3945">
        <v>0</v>
      </c>
      <c r="AA3945">
        <v>0</v>
      </c>
      <c r="AC3945">
        <v>11.6</v>
      </c>
    </row>
    <row r="3946" spans="1:29">
      <c r="A3946">
        <v>3939</v>
      </c>
      <c r="B3946">
        <v>3367</v>
      </c>
      <c r="C3946" t="s">
        <v>8032</v>
      </c>
      <c r="D3946" t="s">
        <v>8033</v>
      </c>
      <c r="E3946" t="s">
        <v>18</v>
      </c>
      <c r="F3946" t="s">
        <v>8034</v>
      </c>
      <c r="G3946" t="str">
        <f>"00081845"</f>
        <v>00081845</v>
      </c>
      <c r="H3946">
        <v>11.2</v>
      </c>
      <c r="I3946">
        <v>0</v>
      </c>
      <c r="M3946">
        <v>0</v>
      </c>
      <c r="N3946">
        <v>0</v>
      </c>
      <c r="O3946">
        <v>0</v>
      </c>
      <c r="P3946">
        <v>11.2</v>
      </c>
      <c r="Q3946">
        <v>0</v>
      </c>
      <c r="R3946">
        <v>0</v>
      </c>
      <c r="S3946">
        <v>0</v>
      </c>
      <c r="T3946">
        <v>0</v>
      </c>
      <c r="U3946">
        <v>0</v>
      </c>
      <c r="V3946">
        <v>0</v>
      </c>
      <c r="W3946">
        <v>0</v>
      </c>
      <c r="X3946">
        <v>0</v>
      </c>
      <c r="Y3946">
        <v>0</v>
      </c>
      <c r="Z3946">
        <v>0</v>
      </c>
      <c r="AA3946">
        <v>0</v>
      </c>
      <c r="AC3946">
        <v>11.2</v>
      </c>
    </row>
    <row r="3947" spans="1:29">
      <c r="A3947">
        <v>3940</v>
      </c>
      <c r="B3947">
        <v>2212</v>
      </c>
      <c r="C3947" t="s">
        <v>8035</v>
      </c>
      <c r="D3947" t="s">
        <v>52</v>
      </c>
      <c r="E3947" t="s">
        <v>32</v>
      </c>
      <c r="F3947" t="s">
        <v>8036</v>
      </c>
      <c r="G3947" t="str">
        <f>"00864676"</f>
        <v>00864676</v>
      </c>
      <c r="H3947">
        <v>11.2</v>
      </c>
      <c r="I3947">
        <v>0</v>
      </c>
      <c r="M3947">
        <v>0</v>
      </c>
      <c r="N3947">
        <v>0</v>
      </c>
      <c r="O3947">
        <v>0</v>
      </c>
      <c r="P3947">
        <v>11.2</v>
      </c>
      <c r="Q3947">
        <v>0</v>
      </c>
      <c r="R3947">
        <v>0</v>
      </c>
      <c r="S3947">
        <v>0</v>
      </c>
      <c r="T3947">
        <v>0</v>
      </c>
      <c r="U3947">
        <v>0</v>
      </c>
      <c r="V3947">
        <v>0</v>
      </c>
      <c r="W3947">
        <v>0</v>
      </c>
      <c r="X3947">
        <v>0</v>
      </c>
      <c r="Y3947">
        <v>0</v>
      </c>
      <c r="Z3947">
        <v>0</v>
      </c>
      <c r="AA3947">
        <v>0</v>
      </c>
      <c r="AC3947">
        <v>11.2</v>
      </c>
    </row>
    <row r="3948" spans="1:29">
      <c r="A3948">
        <v>3941</v>
      </c>
      <c r="B3948">
        <v>4224</v>
      </c>
      <c r="C3948" t="s">
        <v>8042</v>
      </c>
      <c r="D3948" t="s">
        <v>95</v>
      </c>
      <c r="E3948" t="s">
        <v>115</v>
      </c>
      <c r="F3948" t="s">
        <v>8043</v>
      </c>
      <c r="G3948" t="str">
        <f>"00753354"</f>
        <v>00753354</v>
      </c>
      <c r="H3948">
        <v>7.2</v>
      </c>
      <c r="I3948">
        <v>0</v>
      </c>
      <c r="M3948">
        <v>0</v>
      </c>
      <c r="N3948">
        <v>4</v>
      </c>
      <c r="O3948">
        <v>0</v>
      </c>
      <c r="P3948">
        <v>11.2</v>
      </c>
      <c r="Q3948">
        <v>0</v>
      </c>
      <c r="R3948">
        <v>0</v>
      </c>
      <c r="S3948">
        <v>0</v>
      </c>
      <c r="T3948">
        <v>0</v>
      </c>
      <c r="U3948">
        <v>0</v>
      </c>
      <c r="V3948">
        <v>0</v>
      </c>
      <c r="W3948">
        <v>0</v>
      </c>
      <c r="X3948">
        <v>0</v>
      </c>
      <c r="Y3948">
        <v>0</v>
      </c>
      <c r="Z3948">
        <v>0</v>
      </c>
      <c r="AA3948">
        <v>0</v>
      </c>
      <c r="AC3948">
        <v>11.2</v>
      </c>
    </row>
    <row r="3949" spans="1:29">
      <c r="A3949">
        <v>3942</v>
      </c>
      <c r="B3949">
        <v>2851</v>
      </c>
      <c r="C3949" t="s">
        <v>8061</v>
      </c>
      <c r="D3949" t="s">
        <v>784</v>
      </c>
      <c r="E3949" t="s">
        <v>15</v>
      </c>
      <c r="F3949" t="s">
        <v>8062</v>
      </c>
      <c r="G3949" t="str">
        <f>"00370736"</f>
        <v>00370736</v>
      </c>
      <c r="H3949">
        <v>7.2</v>
      </c>
      <c r="I3949">
        <v>0</v>
      </c>
      <c r="M3949">
        <v>0</v>
      </c>
      <c r="N3949">
        <v>4</v>
      </c>
      <c r="O3949">
        <v>0</v>
      </c>
      <c r="P3949">
        <v>11.2</v>
      </c>
      <c r="Q3949">
        <v>0</v>
      </c>
      <c r="R3949">
        <v>0</v>
      </c>
      <c r="S3949">
        <v>0</v>
      </c>
      <c r="T3949">
        <v>0</v>
      </c>
      <c r="U3949">
        <v>0</v>
      </c>
      <c r="V3949">
        <v>0</v>
      </c>
      <c r="W3949">
        <v>0</v>
      </c>
      <c r="X3949">
        <v>0</v>
      </c>
      <c r="Y3949">
        <v>0</v>
      </c>
      <c r="Z3949">
        <v>0</v>
      </c>
      <c r="AA3949">
        <v>0</v>
      </c>
      <c r="AC3949">
        <v>11.2</v>
      </c>
    </row>
    <row r="3950" spans="1:29">
      <c r="A3950">
        <v>3943</v>
      </c>
      <c r="B3950">
        <v>2058</v>
      </c>
      <c r="C3950" t="s">
        <v>8063</v>
      </c>
      <c r="D3950" t="s">
        <v>52</v>
      </c>
      <c r="E3950" t="s">
        <v>3108</v>
      </c>
      <c r="F3950" t="s">
        <v>8064</v>
      </c>
      <c r="G3950" t="str">
        <f>"00512368"</f>
        <v>00512368</v>
      </c>
      <c r="H3950">
        <v>7.2</v>
      </c>
      <c r="I3950">
        <v>0</v>
      </c>
      <c r="M3950">
        <v>0</v>
      </c>
      <c r="N3950">
        <v>4</v>
      </c>
      <c r="O3950">
        <v>0</v>
      </c>
      <c r="P3950">
        <v>11.2</v>
      </c>
      <c r="Q3950">
        <v>0</v>
      </c>
      <c r="R3950">
        <v>0</v>
      </c>
      <c r="S3950">
        <v>0</v>
      </c>
      <c r="T3950">
        <v>0</v>
      </c>
      <c r="U3950">
        <v>0</v>
      </c>
      <c r="V3950">
        <v>0</v>
      </c>
      <c r="W3950">
        <v>0</v>
      </c>
      <c r="X3950">
        <v>0</v>
      </c>
      <c r="Y3950">
        <v>0</v>
      </c>
      <c r="Z3950">
        <v>0</v>
      </c>
      <c r="AA3950">
        <v>0</v>
      </c>
      <c r="AC3950">
        <v>11.2</v>
      </c>
    </row>
    <row r="3951" spans="1:29">
      <c r="A3951">
        <v>3944</v>
      </c>
      <c r="B3951">
        <v>3894</v>
      </c>
      <c r="C3951" t="s">
        <v>8068</v>
      </c>
      <c r="D3951" t="s">
        <v>137</v>
      </c>
      <c r="E3951" t="s">
        <v>3395</v>
      </c>
      <c r="F3951" t="s">
        <v>8069</v>
      </c>
      <c r="G3951" t="str">
        <f>"00854431"</f>
        <v>00854431</v>
      </c>
      <c r="H3951">
        <v>7.2</v>
      </c>
      <c r="I3951">
        <v>0</v>
      </c>
      <c r="M3951">
        <v>0</v>
      </c>
      <c r="N3951">
        <v>4</v>
      </c>
      <c r="O3951">
        <v>0</v>
      </c>
      <c r="P3951">
        <v>11.2</v>
      </c>
      <c r="Q3951">
        <v>0</v>
      </c>
      <c r="R3951">
        <v>0</v>
      </c>
      <c r="S3951">
        <v>0</v>
      </c>
      <c r="T3951">
        <v>0</v>
      </c>
      <c r="U3951">
        <v>0</v>
      </c>
      <c r="V3951">
        <v>0</v>
      </c>
      <c r="W3951">
        <v>0</v>
      </c>
      <c r="X3951">
        <v>0</v>
      </c>
      <c r="Y3951">
        <v>0</v>
      </c>
      <c r="Z3951">
        <v>0</v>
      </c>
      <c r="AA3951">
        <v>0</v>
      </c>
      <c r="AC3951">
        <v>11.2</v>
      </c>
    </row>
    <row r="3952" spans="1:29">
      <c r="A3952">
        <v>3945</v>
      </c>
      <c r="B3952">
        <v>50</v>
      </c>
      <c r="C3952" t="s">
        <v>8038</v>
      </c>
      <c r="D3952" t="s">
        <v>27</v>
      </c>
      <c r="E3952" t="s">
        <v>15</v>
      </c>
      <c r="F3952" t="s">
        <v>8039</v>
      </c>
      <c r="G3952" t="str">
        <f>"201511004417"</f>
        <v>201511004417</v>
      </c>
      <c r="H3952">
        <v>7.2</v>
      </c>
      <c r="I3952">
        <v>0</v>
      </c>
      <c r="M3952">
        <v>0</v>
      </c>
      <c r="N3952">
        <v>4</v>
      </c>
      <c r="O3952">
        <v>0</v>
      </c>
      <c r="P3952">
        <v>11.2</v>
      </c>
      <c r="Q3952">
        <v>0</v>
      </c>
      <c r="R3952">
        <v>0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  <c r="Y3952">
        <v>0</v>
      </c>
      <c r="Z3952">
        <v>0</v>
      </c>
      <c r="AA3952">
        <v>0</v>
      </c>
      <c r="AC3952">
        <v>11.2</v>
      </c>
    </row>
    <row r="3953" spans="1:29">
      <c r="A3953">
        <v>3946</v>
      </c>
      <c r="B3953">
        <v>3802</v>
      </c>
      <c r="C3953" t="s">
        <v>543</v>
      </c>
      <c r="D3953" t="s">
        <v>248</v>
      </c>
      <c r="E3953" t="s">
        <v>1527</v>
      </c>
      <c r="F3953" t="s">
        <v>8060</v>
      </c>
      <c r="G3953" t="str">
        <f>"00432898"</f>
        <v>00432898</v>
      </c>
      <c r="H3953">
        <v>7.2</v>
      </c>
      <c r="I3953">
        <v>0</v>
      </c>
      <c r="M3953">
        <v>0</v>
      </c>
      <c r="N3953">
        <v>4</v>
      </c>
      <c r="O3953">
        <v>0</v>
      </c>
      <c r="P3953">
        <v>11.2</v>
      </c>
      <c r="Q3953">
        <v>0</v>
      </c>
      <c r="R3953">
        <v>0</v>
      </c>
      <c r="S3953">
        <v>0</v>
      </c>
      <c r="T3953">
        <v>0</v>
      </c>
      <c r="U3953">
        <v>0</v>
      </c>
      <c r="V3953">
        <v>0</v>
      </c>
      <c r="W3953">
        <v>0</v>
      </c>
      <c r="X3953">
        <v>0</v>
      </c>
      <c r="Y3953">
        <v>0</v>
      </c>
      <c r="Z3953">
        <v>0</v>
      </c>
      <c r="AA3953">
        <v>0</v>
      </c>
      <c r="AC3953">
        <v>11.2</v>
      </c>
    </row>
    <row r="3954" spans="1:29">
      <c r="A3954">
        <v>3947</v>
      </c>
      <c r="B3954">
        <v>682</v>
      </c>
      <c r="C3954" t="s">
        <v>8048</v>
      </c>
      <c r="D3954" t="s">
        <v>8049</v>
      </c>
      <c r="E3954" t="s">
        <v>36</v>
      </c>
      <c r="F3954" t="s">
        <v>8050</v>
      </c>
      <c r="G3954" t="str">
        <f>"00521319"</f>
        <v>00521319</v>
      </c>
      <c r="H3954">
        <v>7.2</v>
      </c>
      <c r="I3954">
        <v>0</v>
      </c>
      <c r="M3954">
        <v>0</v>
      </c>
      <c r="N3954">
        <v>4</v>
      </c>
      <c r="O3954">
        <v>0</v>
      </c>
      <c r="P3954">
        <v>11.2</v>
      </c>
      <c r="Q3954">
        <v>0</v>
      </c>
      <c r="R3954">
        <v>0</v>
      </c>
      <c r="S3954">
        <v>0</v>
      </c>
      <c r="T3954">
        <v>0</v>
      </c>
      <c r="U3954">
        <v>0</v>
      </c>
      <c r="V3954">
        <v>0</v>
      </c>
      <c r="W3954">
        <v>0</v>
      </c>
      <c r="X3954">
        <v>0</v>
      </c>
      <c r="Y3954">
        <v>0</v>
      </c>
      <c r="Z3954">
        <v>0</v>
      </c>
      <c r="AA3954">
        <v>0</v>
      </c>
      <c r="AC3954">
        <v>11.2</v>
      </c>
    </row>
    <row r="3955" spans="1:29">
      <c r="A3955">
        <v>3948</v>
      </c>
      <c r="B3955">
        <v>3881</v>
      </c>
      <c r="C3955" t="s">
        <v>8044</v>
      </c>
      <c r="D3955" t="s">
        <v>8045</v>
      </c>
      <c r="E3955" t="s">
        <v>56</v>
      </c>
      <c r="F3955" t="s">
        <v>8046</v>
      </c>
      <c r="G3955" t="str">
        <f>"00397718"</f>
        <v>00397718</v>
      </c>
      <c r="H3955">
        <v>7.2</v>
      </c>
      <c r="I3955">
        <v>0</v>
      </c>
      <c r="M3955">
        <v>0</v>
      </c>
      <c r="N3955">
        <v>4</v>
      </c>
      <c r="O3955">
        <v>0</v>
      </c>
      <c r="P3955">
        <v>11.2</v>
      </c>
      <c r="Q3955">
        <v>0</v>
      </c>
      <c r="R3955">
        <v>0</v>
      </c>
      <c r="S3955">
        <v>0</v>
      </c>
      <c r="T3955">
        <v>0</v>
      </c>
      <c r="U3955">
        <v>0</v>
      </c>
      <c r="V3955">
        <v>0</v>
      </c>
      <c r="W3955">
        <v>0</v>
      </c>
      <c r="X3955">
        <v>0</v>
      </c>
      <c r="Y3955">
        <v>0</v>
      </c>
      <c r="Z3955">
        <v>0</v>
      </c>
      <c r="AA3955">
        <v>0</v>
      </c>
      <c r="AC3955">
        <v>11.2</v>
      </c>
    </row>
    <row r="3956" spans="1:29">
      <c r="A3956">
        <v>3949</v>
      </c>
      <c r="B3956">
        <v>2930</v>
      </c>
      <c r="C3956" t="s">
        <v>8051</v>
      </c>
      <c r="D3956" t="s">
        <v>98</v>
      </c>
      <c r="E3956" t="s">
        <v>1020</v>
      </c>
      <c r="F3956" t="s">
        <v>8052</v>
      </c>
      <c r="G3956" t="str">
        <f>"00860225"</f>
        <v>00860225</v>
      </c>
      <c r="H3956">
        <v>7.2</v>
      </c>
      <c r="I3956">
        <v>0</v>
      </c>
      <c r="M3956">
        <v>0</v>
      </c>
      <c r="N3956">
        <v>4</v>
      </c>
      <c r="O3956">
        <v>0</v>
      </c>
      <c r="P3956">
        <v>11.2</v>
      </c>
      <c r="Q3956">
        <v>0</v>
      </c>
      <c r="R3956">
        <v>0</v>
      </c>
      <c r="S3956">
        <v>0</v>
      </c>
      <c r="T3956">
        <v>0</v>
      </c>
      <c r="U3956">
        <v>0</v>
      </c>
      <c r="V3956">
        <v>0</v>
      </c>
      <c r="W3956">
        <v>0</v>
      </c>
      <c r="X3956">
        <v>0</v>
      </c>
      <c r="Y3956">
        <v>0</v>
      </c>
      <c r="Z3956">
        <v>0</v>
      </c>
      <c r="AA3956">
        <v>0</v>
      </c>
      <c r="AC3956">
        <v>11.2</v>
      </c>
    </row>
    <row r="3957" spans="1:29">
      <c r="A3957">
        <v>3950</v>
      </c>
      <c r="B3957">
        <v>4101</v>
      </c>
      <c r="C3957" t="s">
        <v>8056</v>
      </c>
      <c r="D3957" t="s">
        <v>86</v>
      </c>
      <c r="E3957" t="s">
        <v>79</v>
      </c>
      <c r="F3957" t="s">
        <v>8057</v>
      </c>
      <c r="G3957" t="str">
        <f>"00864750"</f>
        <v>00864750</v>
      </c>
      <c r="H3957">
        <v>7.2</v>
      </c>
      <c r="I3957">
        <v>0</v>
      </c>
      <c r="M3957">
        <v>0</v>
      </c>
      <c r="N3957">
        <v>4</v>
      </c>
      <c r="O3957">
        <v>0</v>
      </c>
      <c r="P3957">
        <v>11.2</v>
      </c>
      <c r="Q3957">
        <v>0</v>
      </c>
      <c r="R3957">
        <v>0</v>
      </c>
      <c r="S3957">
        <v>0</v>
      </c>
      <c r="T3957">
        <v>0</v>
      </c>
      <c r="U3957">
        <v>0</v>
      </c>
      <c r="V3957">
        <v>0</v>
      </c>
      <c r="W3957">
        <v>0</v>
      </c>
      <c r="X3957">
        <v>0</v>
      </c>
      <c r="Y3957">
        <v>0</v>
      </c>
      <c r="Z3957">
        <v>0</v>
      </c>
      <c r="AA3957">
        <v>0</v>
      </c>
      <c r="AC3957">
        <v>11.2</v>
      </c>
    </row>
    <row r="3958" spans="1:29">
      <c r="A3958">
        <v>3951</v>
      </c>
      <c r="B3958">
        <v>2013</v>
      </c>
      <c r="C3958" t="s">
        <v>8040</v>
      </c>
      <c r="D3958" t="s">
        <v>52</v>
      </c>
      <c r="E3958" t="s">
        <v>18</v>
      </c>
      <c r="F3958" t="s">
        <v>8041</v>
      </c>
      <c r="G3958" t="str">
        <f>"00531737"</f>
        <v>00531737</v>
      </c>
      <c r="H3958">
        <v>7.2</v>
      </c>
      <c r="I3958">
        <v>0</v>
      </c>
      <c r="L3958">
        <v>4</v>
      </c>
      <c r="M3958">
        <v>4</v>
      </c>
      <c r="N3958">
        <v>0</v>
      </c>
      <c r="O3958">
        <v>0</v>
      </c>
      <c r="P3958">
        <v>11.2</v>
      </c>
      <c r="Q3958">
        <v>0</v>
      </c>
      <c r="R3958">
        <v>0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  <c r="Y3958">
        <v>0</v>
      </c>
      <c r="Z3958">
        <v>0</v>
      </c>
      <c r="AA3958">
        <v>0</v>
      </c>
      <c r="AC3958">
        <v>11.2</v>
      </c>
    </row>
    <row r="3959" spans="1:29">
      <c r="A3959">
        <v>3952</v>
      </c>
      <c r="B3959">
        <v>1299</v>
      </c>
      <c r="C3959" t="s">
        <v>8066</v>
      </c>
      <c r="D3959" t="s">
        <v>20</v>
      </c>
      <c r="E3959" t="s">
        <v>122</v>
      </c>
      <c r="F3959" t="s">
        <v>8067</v>
      </c>
      <c r="G3959" t="str">
        <f>"00049551"</f>
        <v>00049551</v>
      </c>
      <c r="H3959">
        <v>7.2</v>
      </c>
      <c r="I3959">
        <v>0</v>
      </c>
      <c r="M3959">
        <v>0</v>
      </c>
      <c r="N3959">
        <v>4</v>
      </c>
      <c r="O3959">
        <v>0</v>
      </c>
      <c r="P3959">
        <v>11.2</v>
      </c>
      <c r="Q3959">
        <v>0</v>
      </c>
      <c r="R3959">
        <v>0</v>
      </c>
      <c r="S3959">
        <v>0</v>
      </c>
      <c r="T3959">
        <v>0</v>
      </c>
      <c r="U3959">
        <v>0</v>
      </c>
      <c r="V3959">
        <v>0</v>
      </c>
      <c r="W3959">
        <v>0</v>
      </c>
      <c r="X3959">
        <v>0</v>
      </c>
      <c r="Y3959">
        <v>0</v>
      </c>
      <c r="Z3959">
        <v>0</v>
      </c>
      <c r="AA3959">
        <v>0</v>
      </c>
      <c r="AC3959">
        <v>11.2</v>
      </c>
    </row>
    <row r="3960" spans="1:29">
      <c r="A3960">
        <v>3953</v>
      </c>
      <c r="B3960">
        <v>1857</v>
      </c>
      <c r="C3960" t="s">
        <v>642</v>
      </c>
      <c r="D3960" t="s">
        <v>52</v>
      </c>
      <c r="E3960" t="s">
        <v>644</v>
      </c>
      <c r="F3960" t="s">
        <v>8047</v>
      </c>
      <c r="G3960" t="str">
        <f>"00860396"</f>
        <v>00860396</v>
      </c>
      <c r="H3960">
        <v>7.2</v>
      </c>
      <c r="I3960">
        <v>0</v>
      </c>
      <c r="M3960">
        <v>0</v>
      </c>
      <c r="N3960">
        <v>4</v>
      </c>
      <c r="O3960">
        <v>0</v>
      </c>
      <c r="P3960">
        <v>11.2</v>
      </c>
      <c r="Q3960">
        <v>0</v>
      </c>
      <c r="R3960">
        <v>0</v>
      </c>
      <c r="S3960">
        <v>0</v>
      </c>
      <c r="T3960">
        <v>0</v>
      </c>
      <c r="U3960">
        <v>0</v>
      </c>
      <c r="V3960">
        <v>0</v>
      </c>
      <c r="W3960">
        <v>0</v>
      </c>
      <c r="X3960">
        <v>0</v>
      </c>
      <c r="Y3960">
        <v>0</v>
      </c>
      <c r="Z3960">
        <v>0</v>
      </c>
      <c r="AA3960">
        <v>0</v>
      </c>
      <c r="AC3960">
        <v>11.2</v>
      </c>
    </row>
    <row r="3961" spans="1:29">
      <c r="A3961">
        <v>3954</v>
      </c>
      <c r="B3961">
        <v>2564</v>
      </c>
      <c r="C3961" t="s">
        <v>8058</v>
      </c>
      <c r="D3961" t="s">
        <v>141</v>
      </c>
      <c r="E3961" t="s">
        <v>18</v>
      </c>
      <c r="F3961" t="s">
        <v>8059</v>
      </c>
      <c r="G3961" t="str">
        <f>"00113092"</f>
        <v>00113092</v>
      </c>
      <c r="H3961">
        <v>7.2</v>
      </c>
      <c r="I3961">
        <v>0</v>
      </c>
      <c r="M3961">
        <v>0</v>
      </c>
      <c r="N3961">
        <v>4</v>
      </c>
      <c r="O3961">
        <v>0</v>
      </c>
      <c r="P3961">
        <v>11.2</v>
      </c>
      <c r="Q3961">
        <v>0</v>
      </c>
      <c r="R3961">
        <v>0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0</v>
      </c>
      <c r="Y3961">
        <v>0</v>
      </c>
      <c r="Z3961">
        <v>0</v>
      </c>
      <c r="AA3961">
        <v>0</v>
      </c>
      <c r="AC3961">
        <v>11.2</v>
      </c>
    </row>
    <row r="3962" spans="1:29">
      <c r="A3962">
        <v>3955</v>
      </c>
      <c r="B3962">
        <v>4708</v>
      </c>
      <c r="C3962" t="s">
        <v>8070</v>
      </c>
      <c r="D3962" t="s">
        <v>86</v>
      </c>
      <c r="E3962" t="s">
        <v>224</v>
      </c>
      <c r="F3962" t="s">
        <v>8071</v>
      </c>
      <c r="G3962" t="str">
        <f>"00861350"</f>
        <v>00861350</v>
      </c>
      <c r="H3962">
        <v>7.2</v>
      </c>
      <c r="I3962">
        <v>0</v>
      </c>
      <c r="M3962">
        <v>0</v>
      </c>
      <c r="N3962">
        <v>4</v>
      </c>
      <c r="O3962">
        <v>0</v>
      </c>
      <c r="P3962">
        <v>11.2</v>
      </c>
      <c r="Q3962">
        <v>0</v>
      </c>
      <c r="R3962">
        <v>0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0</v>
      </c>
      <c r="Y3962">
        <v>0</v>
      </c>
      <c r="Z3962">
        <v>0</v>
      </c>
      <c r="AA3962">
        <v>0</v>
      </c>
      <c r="AC3962">
        <v>11.2</v>
      </c>
    </row>
    <row r="3963" spans="1:29">
      <c r="A3963">
        <v>3956</v>
      </c>
      <c r="B3963">
        <v>1939</v>
      </c>
      <c r="C3963" t="s">
        <v>3111</v>
      </c>
      <c r="D3963" t="s">
        <v>1187</v>
      </c>
      <c r="E3963" t="s">
        <v>28</v>
      </c>
      <c r="F3963" t="s">
        <v>8037</v>
      </c>
      <c r="G3963" t="str">
        <f>"00865317"</f>
        <v>00865317</v>
      </c>
      <c r="H3963">
        <v>7.2</v>
      </c>
      <c r="I3963">
        <v>0</v>
      </c>
      <c r="L3963">
        <v>4</v>
      </c>
      <c r="M3963">
        <v>4</v>
      </c>
      <c r="N3963">
        <v>0</v>
      </c>
      <c r="O3963">
        <v>0</v>
      </c>
      <c r="P3963">
        <v>11.2</v>
      </c>
      <c r="Q3963">
        <v>0</v>
      </c>
      <c r="R3963">
        <v>0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0</v>
      </c>
      <c r="Y3963">
        <v>0</v>
      </c>
      <c r="Z3963">
        <v>0</v>
      </c>
      <c r="AA3963">
        <v>0</v>
      </c>
      <c r="AC3963">
        <v>11.2</v>
      </c>
    </row>
    <row r="3964" spans="1:29">
      <c r="A3964">
        <v>3957</v>
      </c>
      <c r="B3964">
        <v>4932</v>
      </c>
      <c r="C3964" t="s">
        <v>492</v>
      </c>
      <c r="D3964" t="s">
        <v>130</v>
      </c>
      <c r="E3964" t="s">
        <v>79</v>
      </c>
      <c r="F3964" t="s">
        <v>8065</v>
      </c>
      <c r="G3964" t="str">
        <f>"00866575"</f>
        <v>00866575</v>
      </c>
      <c r="H3964">
        <v>7.2</v>
      </c>
      <c r="I3964">
        <v>0</v>
      </c>
      <c r="L3964">
        <v>4</v>
      </c>
      <c r="M3964">
        <v>4</v>
      </c>
      <c r="N3964">
        <v>0</v>
      </c>
      <c r="O3964">
        <v>0</v>
      </c>
      <c r="P3964">
        <v>11.2</v>
      </c>
      <c r="Q3964">
        <v>0</v>
      </c>
      <c r="R3964">
        <v>0</v>
      </c>
      <c r="S3964">
        <v>0</v>
      </c>
      <c r="T3964">
        <v>0</v>
      </c>
      <c r="U3964">
        <v>0</v>
      </c>
      <c r="V3964">
        <v>0</v>
      </c>
      <c r="W3964">
        <v>0</v>
      </c>
      <c r="X3964">
        <v>0</v>
      </c>
      <c r="Y3964">
        <v>0</v>
      </c>
      <c r="Z3964">
        <v>0</v>
      </c>
      <c r="AA3964">
        <v>0</v>
      </c>
      <c r="AC3964">
        <v>11.2</v>
      </c>
    </row>
    <row r="3965" spans="1:29">
      <c r="A3965">
        <v>3958</v>
      </c>
      <c r="B3965">
        <v>2833</v>
      </c>
      <c r="C3965" t="s">
        <v>8053</v>
      </c>
      <c r="D3965" t="s">
        <v>8054</v>
      </c>
      <c r="E3965" t="s">
        <v>115</v>
      </c>
      <c r="F3965" t="s">
        <v>8055</v>
      </c>
      <c r="G3965" t="str">
        <f>"00865467"</f>
        <v>00865467</v>
      </c>
      <c r="H3965">
        <v>7.2</v>
      </c>
      <c r="I3965">
        <v>0</v>
      </c>
      <c r="M3965">
        <v>0</v>
      </c>
      <c r="N3965">
        <v>4</v>
      </c>
      <c r="O3965">
        <v>0</v>
      </c>
      <c r="P3965">
        <v>11.2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0</v>
      </c>
      <c r="Y3965">
        <v>0</v>
      </c>
      <c r="Z3965">
        <v>0</v>
      </c>
      <c r="AA3965">
        <v>0</v>
      </c>
      <c r="AC3965">
        <v>11.2</v>
      </c>
    </row>
    <row r="3966" spans="1:29">
      <c r="A3966">
        <v>3959</v>
      </c>
      <c r="B3966">
        <v>1722</v>
      </c>
      <c r="C3966" t="s">
        <v>5800</v>
      </c>
      <c r="D3966" t="s">
        <v>784</v>
      </c>
      <c r="E3966" t="s">
        <v>32</v>
      </c>
      <c r="F3966" t="s">
        <v>8072</v>
      </c>
      <c r="G3966" t="str">
        <f>"00471715"</f>
        <v>00471715</v>
      </c>
      <c r="H3966">
        <v>0</v>
      </c>
      <c r="I3966">
        <v>0</v>
      </c>
      <c r="M3966">
        <v>0</v>
      </c>
      <c r="N3966">
        <v>0</v>
      </c>
      <c r="O3966">
        <v>0</v>
      </c>
      <c r="P3966">
        <v>0</v>
      </c>
      <c r="Q3966">
        <v>5</v>
      </c>
      <c r="R3966">
        <v>5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0</v>
      </c>
      <c r="Y3966">
        <v>5</v>
      </c>
      <c r="Z3966">
        <v>6</v>
      </c>
      <c r="AA3966">
        <v>0</v>
      </c>
      <c r="AC3966">
        <v>11</v>
      </c>
    </row>
    <row r="3967" spans="1:29">
      <c r="A3967">
        <v>3960</v>
      </c>
      <c r="B3967">
        <v>982</v>
      </c>
      <c r="C3967" t="s">
        <v>399</v>
      </c>
      <c r="D3967" t="s">
        <v>52</v>
      </c>
      <c r="E3967" t="s">
        <v>66</v>
      </c>
      <c r="F3967" t="s">
        <v>8075</v>
      </c>
      <c r="G3967" t="str">
        <f>"00531423"</f>
        <v>00531423</v>
      </c>
      <c r="H3967">
        <v>0</v>
      </c>
      <c r="I3967">
        <v>0</v>
      </c>
      <c r="L3967">
        <v>4</v>
      </c>
      <c r="M3967">
        <v>4</v>
      </c>
      <c r="N3967">
        <v>4</v>
      </c>
      <c r="O3967">
        <v>0</v>
      </c>
      <c r="P3967">
        <v>8</v>
      </c>
      <c r="Q3967">
        <v>0</v>
      </c>
      <c r="R3967">
        <v>0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0</v>
      </c>
      <c r="Y3967">
        <v>0</v>
      </c>
      <c r="Z3967">
        <v>3</v>
      </c>
      <c r="AA3967">
        <v>0</v>
      </c>
      <c r="AC3967">
        <v>11</v>
      </c>
    </row>
    <row r="3968" spans="1:29">
      <c r="A3968">
        <v>3961</v>
      </c>
      <c r="B3968">
        <v>809</v>
      </c>
      <c r="C3968" t="s">
        <v>8073</v>
      </c>
      <c r="D3968" t="s">
        <v>164</v>
      </c>
      <c r="E3968" t="s">
        <v>36</v>
      </c>
      <c r="F3968" t="s">
        <v>8074</v>
      </c>
      <c r="G3968" t="str">
        <f>"201511010651"</f>
        <v>201511010651</v>
      </c>
      <c r="H3968">
        <v>0</v>
      </c>
      <c r="I3968">
        <v>0</v>
      </c>
      <c r="L3968">
        <v>4</v>
      </c>
      <c r="M3968">
        <v>4</v>
      </c>
      <c r="N3968">
        <v>4</v>
      </c>
      <c r="O3968">
        <v>0</v>
      </c>
      <c r="P3968">
        <v>8</v>
      </c>
      <c r="Q3968">
        <v>0</v>
      </c>
      <c r="R3968">
        <v>0</v>
      </c>
      <c r="S3968">
        <v>0</v>
      </c>
      <c r="T3968">
        <v>0</v>
      </c>
      <c r="U3968">
        <v>0</v>
      </c>
      <c r="V3968">
        <v>0</v>
      </c>
      <c r="W3968">
        <v>0</v>
      </c>
      <c r="X3968">
        <v>0</v>
      </c>
      <c r="Y3968">
        <v>0</v>
      </c>
      <c r="Z3968">
        <v>3</v>
      </c>
      <c r="AA3968">
        <v>0</v>
      </c>
      <c r="AC3968">
        <v>11</v>
      </c>
    </row>
    <row r="3969" spans="1:29">
      <c r="A3969">
        <v>3962</v>
      </c>
      <c r="B3969">
        <v>1370</v>
      </c>
      <c r="C3969" t="s">
        <v>4076</v>
      </c>
      <c r="D3969" t="s">
        <v>952</v>
      </c>
      <c r="E3969" t="s">
        <v>187</v>
      </c>
      <c r="F3969" t="s">
        <v>8082</v>
      </c>
      <c r="G3969" t="str">
        <f>"00429070"</f>
        <v>00429070</v>
      </c>
      <c r="H3969">
        <v>0</v>
      </c>
      <c r="I3969">
        <v>0</v>
      </c>
      <c r="L3969">
        <v>4</v>
      </c>
      <c r="M3969">
        <v>4</v>
      </c>
      <c r="N3969">
        <v>4</v>
      </c>
      <c r="O3969">
        <v>0</v>
      </c>
      <c r="P3969">
        <v>8</v>
      </c>
      <c r="Q3969">
        <v>0</v>
      </c>
      <c r="R3969">
        <v>0</v>
      </c>
      <c r="S3969">
        <v>0</v>
      </c>
      <c r="T3969">
        <v>0</v>
      </c>
      <c r="U3969">
        <v>0</v>
      </c>
      <c r="V3969">
        <v>0</v>
      </c>
      <c r="W3969">
        <v>0</v>
      </c>
      <c r="X3969">
        <v>0</v>
      </c>
      <c r="Y3969">
        <v>0</v>
      </c>
      <c r="Z3969">
        <v>3</v>
      </c>
      <c r="AA3969">
        <v>0</v>
      </c>
      <c r="AC3969">
        <v>11</v>
      </c>
    </row>
    <row r="3970" spans="1:29">
      <c r="A3970">
        <v>3963</v>
      </c>
      <c r="B3970">
        <v>4017</v>
      </c>
      <c r="C3970" t="s">
        <v>8078</v>
      </c>
      <c r="D3970" t="s">
        <v>1176</v>
      </c>
      <c r="E3970" t="s">
        <v>375</v>
      </c>
      <c r="F3970" t="s">
        <v>8079</v>
      </c>
      <c r="G3970" t="str">
        <f>"00859751"</f>
        <v>00859751</v>
      </c>
      <c r="H3970">
        <v>0</v>
      </c>
      <c r="I3970">
        <v>0</v>
      </c>
      <c r="J3970">
        <v>8</v>
      </c>
      <c r="M3970">
        <v>8</v>
      </c>
      <c r="N3970">
        <v>0</v>
      </c>
      <c r="O3970">
        <v>0</v>
      </c>
      <c r="P3970">
        <v>8</v>
      </c>
      <c r="Q3970">
        <v>0</v>
      </c>
      <c r="R3970">
        <v>0</v>
      </c>
      <c r="S3970">
        <v>0</v>
      </c>
      <c r="T3970">
        <v>0</v>
      </c>
      <c r="U3970">
        <v>0</v>
      </c>
      <c r="V3970">
        <v>0</v>
      </c>
      <c r="W3970">
        <v>0</v>
      </c>
      <c r="X3970">
        <v>0</v>
      </c>
      <c r="Y3970">
        <v>0</v>
      </c>
      <c r="Z3970">
        <v>3</v>
      </c>
      <c r="AA3970">
        <v>0</v>
      </c>
      <c r="AC3970">
        <v>11</v>
      </c>
    </row>
    <row r="3971" spans="1:29">
      <c r="A3971">
        <v>3964</v>
      </c>
      <c r="B3971">
        <v>1532</v>
      </c>
      <c r="C3971" t="s">
        <v>8076</v>
      </c>
      <c r="D3971" t="s">
        <v>1330</v>
      </c>
      <c r="E3971" t="s">
        <v>3410</v>
      </c>
      <c r="F3971" t="s">
        <v>8077</v>
      </c>
      <c r="G3971" t="str">
        <f>"00284746"</f>
        <v>00284746</v>
      </c>
      <c r="H3971">
        <v>0</v>
      </c>
      <c r="I3971">
        <v>0</v>
      </c>
      <c r="L3971">
        <v>4</v>
      </c>
      <c r="M3971">
        <v>4</v>
      </c>
      <c r="N3971">
        <v>4</v>
      </c>
      <c r="O3971">
        <v>0</v>
      </c>
      <c r="P3971">
        <v>8</v>
      </c>
      <c r="Q3971">
        <v>0</v>
      </c>
      <c r="R3971">
        <v>0</v>
      </c>
      <c r="S3971">
        <v>0</v>
      </c>
      <c r="T3971">
        <v>0</v>
      </c>
      <c r="U3971">
        <v>0</v>
      </c>
      <c r="V3971">
        <v>0</v>
      </c>
      <c r="W3971">
        <v>0</v>
      </c>
      <c r="X3971">
        <v>0</v>
      </c>
      <c r="Y3971">
        <v>0</v>
      </c>
      <c r="Z3971">
        <v>3</v>
      </c>
      <c r="AA3971">
        <v>0</v>
      </c>
      <c r="AC3971">
        <v>11</v>
      </c>
    </row>
    <row r="3972" spans="1:29">
      <c r="A3972">
        <v>3965</v>
      </c>
      <c r="B3972">
        <v>2280</v>
      </c>
      <c r="C3972" t="s">
        <v>8080</v>
      </c>
      <c r="D3972" t="s">
        <v>108</v>
      </c>
      <c r="E3972" t="s">
        <v>15</v>
      </c>
      <c r="F3972" t="s">
        <v>8081</v>
      </c>
      <c r="G3972" t="str">
        <f>"00862633"</f>
        <v>00862633</v>
      </c>
      <c r="H3972">
        <v>0</v>
      </c>
      <c r="I3972">
        <v>0</v>
      </c>
      <c r="L3972">
        <v>4</v>
      </c>
      <c r="M3972">
        <v>4</v>
      </c>
      <c r="N3972">
        <v>4</v>
      </c>
      <c r="O3972">
        <v>0</v>
      </c>
      <c r="P3972">
        <v>8</v>
      </c>
      <c r="Q3972">
        <v>0</v>
      </c>
      <c r="R3972">
        <v>0</v>
      </c>
      <c r="S3972">
        <v>0</v>
      </c>
      <c r="T3972">
        <v>0</v>
      </c>
      <c r="U3972">
        <v>0</v>
      </c>
      <c r="V3972">
        <v>0</v>
      </c>
      <c r="W3972">
        <v>0</v>
      </c>
      <c r="X3972">
        <v>0</v>
      </c>
      <c r="Y3972">
        <v>0</v>
      </c>
      <c r="Z3972">
        <v>3</v>
      </c>
      <c r="AA3972">
        <v>0</v>
      </c>
      <c r="AC3972">
        <v>11</v>
      </c>
    </row>
    <row r="3973" spans="1:29">
      <c r="A3973">
        <v>3966</v>
      </c>
      <c r="B3973">
        <v>2395</v>
      </c>
      <c r="C3973" t="s">
        <v>8083</v>
      </c>
      <c r="D3973" t="s">
        <v>52</v>
      </c>
      <c r="E3973" t="s">
        <v>304</v>
      </c>
      <c r="F3973" t="s">
        <v>8084</v>
      </c>
      <c r="G3973" t="str">
        <f>"00856713"</f>
        <v>00856713</v>
      </c>
      <c r="H3973">
        <v>10.56</v>
      </c>
      <c r="I3973">
        <v>0</v>
      </c>
      <c r="M3973">
        <v>0</v>
      </c>
      <c r="N3973">
        <v>0</v>
      </c>
      <c r="O3973">
        <v>0</v>
      </c>
      <c r="P3973">
        <v>10.56</v>
      </c>
      <c r="Q3973">
        <v>0</v>
      </c>
      <c r="R3973">
        <v>0</v>
      </c>
      <c r="S3973">
        <v>0</v>
      </c>
      <c r="T3973">
        <v>0</v>
      </c>
      <c r="U3973">
        <v>0</v>
      </c>
      <c r="V3973">
        <v>0</v>
      </c>
      <c r="W3973">
        <v>0</v>
      </c>
      <c r="X3973">
        <v>0</v>
      </c>
      <c r="Y3973">
        <v>0</v>
      </c>
      <c r="Z3973">
        <v>0</v>
      </c>
      <c r="AA3973">
        <v>0</v>
      </c>
      <c r="AC3973">
        <v>10.56</v>
      </c>
    </row>
    <row r="3974" spans="1:29">
      <c r="A3974">
        <v>3967</v>
      </c>
      <c r="B3974">
        <v>4848</v>
      </c>
      <c r="C3974" t="s">
        <v>6598</v>
      </c>
      <c r="D3974" t="s">
        <v>35</v>
      </c>
      <c r="E3974" t="s">
        <v>1223</v>
      </c>
      <c r="F3974" t="s">
        <v>8085</v>
      </c>
      <c r="G3974" t="str">
        <f>"00259712"</f>
        <v>00259712</v>
      </c>
      <c r="H3974">
        <v>4.3600000000000003</v>
      </c>
      <c r="I3974">
        <v>0</v>
      </c>
      <c r="M3974">
        <v>0</v>
      </c>
      <c r="N3974">
        <v>0</v>
      </c>
      <c r="O3974">
        <v>0</v>
      </c>
      <c r="P3974">
        <v>4.3600000000000003</v>
      </c>
      <c r="Q3974">
        <v>0</v>
      </c>
      <c r="R3974">
        <v>0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0</v>
      </c>
      <c r="Y3974">
        <v>0</v>
      </c>
      <c r="Z3974">
        <v>6</v>
      </c>
      <c r="AA3974">
        <v>0</v>
      </c>
      <c r="AC3974">
        <v>10.36</v>
      </c>
    </row>
    <row r="3975" spans="1:29">
      <c r="A3975">
        <v>3968</v>
      </c>
      <c r="B3975">
        <v>1186</v>
      </c>
      <c r="C3975" t="s">
        <v>8087</v>
      </c>
      <c r="D3975" t="s">
        <v>2848</v>
      </c>
      <c r="E3975" t="s">
        <v>66</v>
      </c>
      <c r="F3975" t="s">
        <v>8088</v>
      </c>
      <c r="G3975" t="str">
        <f>"00683844"</f>
        <v>00683844</v>
      </c>
      <c r="H3975">
        <v>7.2</v>
      </c>
      <c r="I3975">
        <v>0</v>
      </c>
      <c r="M3975">
        <v>0</v>
      </c>
      <c r="N3975">
        <v>0</v>
      </c>
      <c r="O3975">
        <v>0</v>
      </c>
      <c r="P3975">
        <v>7.2</v>
      </c>
      <c r="Q3975">
        <v>0</v>
      </c>
      <c r="R3975">
        <v>0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0</v>
      </c>
      <c r="Y3975">
        <v>0</v>
      </c>
      <c r="Z3975">
        <v>3</v>
      </c>
      <c r="AA3975">
        <v>0</v>
      </c>
      <c r="AC3975">
        <v>10.199999999999999</v>
      </c>
    </row>
    <row r="3976" spans="1:29">
      <c r="A3976">
        <v>3969</v>
      </c>
      <c r="B3976">
        <v>3041</v>
      </c>
      <c r="C3976" t="s">
        <v>8094</v>
      </c>
      <c r="D3976" t="s">
        <v>8095</v>
      </c>
      <c r="E3976" t="s">
        <v>134</v>
      </c>
      <c r="F3976" t="s">
        <v>8096</v>
      </c>
      <c r="G3976" t="str">
        <f>"00862790"</f>
        <v>00862790</v>
      </c>
      <c r="H3976">
        <v>7.2</v>
      </c>
      <c r="I3976">
        <v>0</v>
      </c>
      <c r="M3976">
        <v>0</v>
      </c>
      <c r="N3976">
        <v>0</v>
      </c>
      <c r="O3976">
        <v>0</v>
      </c>
      <c r="P3976">
        <v>7.2</v>
      </c>
      <c r="Q3976">
        <v>0</v>
      </c>
      <c r="R3976">
        <v>0</v>
      </c>
      <c r="S3976">
        <v>0</v>
      </c>
      <c r="T3976">
        <v>0</v>
      </c>
      <c r="U3976">
        <v>0</v>
      </c>
      <c r="V3976">
        <v>0</v>
      </c>
      <c r="W3976">
        <v>0</v>
      </c>
      <c r="X3976">
        <v>0</v>
      </c>
      <c r="Y3976">
        <v>0</v>
      </c>
      <c r="Z3976">
        <v>3</v>
      </c>
      <c r="AA3976">
        <v>0</v>
      </c>
      <c r="AC3976">
        <v>10.199999999999999</v>
      </c>
    </row>
    <row r="3977" spans="1:29">
      <c r="A3977">
        <v>3970</v>
      </c>
      <c r="B3977">
        <v>20</v>
      </c>
      <c r="C3977" t="s">
        <v>34</v>
      </c>
      <c r="D3977" t="s">
        <v>98</v>
      </c>
      <c r="E3977" t="s">
        <v>156</v>
      </c>
      <c r="F3977" t="s">
        <v>8086</v>
      </c>
      <c r="G3977" t="str">
        <f>"00155468"</f>
        <v>00155468</v>
      </c>
      <c r="H3977">
        <v>7.2</v>
      </c>
      <c r="I3977">
        <v>0</v>
      </c>
      <c r="M3977">
        <v>0</v>
      </c>
      <c r="N3977">
        <v>0</v>
      </c>
      <c r="O3977">
        <v>0</v>
      </c>
      <c r="P3977">
        <v>7.2</v>
      </c>
      <c r="Q3977">
        <v>0</v>
      </c>
      <c r="R3977">
        <v>0</v>
      </c>
      <c r="S3977">
        <v>0</v>
      </c>
      <c r="T3977">
        <v>0</v>
      </c>
      <c r="U3977">
        <v>0</v>
      </c>
      <c r="V3977">
        <v>0</v>
      </c>
      <c r="W3977">
        <v>0</v>
      </c>
      <c r="X3977">
        <v>0</v>
      </c>
      <c r="Y3977">
        <v>0</v>
      </c>
      <c r="Z3977">
        <v>3</v>
      </c>
      <c r="AA3977">
        <v>0</v>
      </c>
      <c r="AC3977">
        <v>10.199999999999999</v>
      </c>
    </row>
    <row r="3978" spans="1:29">
      <c r="A3978">
        <v>3971</v>
      </c>
      <c r="B3978">
        <v>3309</v>
      </c>
      <c r="C3978" t="s">
        <v>1341</v>
      </c>
      <c r="D3978" t="s">
        <v>8092</v>
      </c>
      <c r="E3978" t="s">
        <v>36</v>
      </c>
      <c r="F3978" t="s">
        <v>8093</v>
      </c>
      <c r="G3978" t="str">
        <f>"00380357"</f>
        <v>00380357</v>
      </c>
      <c r="H3978">
        <v>7.2</v>
      </c>
      <c r="I3978">
        <v>0</v>
      </c>
      <c r="M3978">
        <v>0</v>
      </c>
      <c r="N3978">
        <v>0</v>
      </c>
      <c r="O3978">
        <v>0</v>
      </c>
      <c r="P3978">
        <v>7.2</v>
      </c>
      <c r="Q3978">
        <v>0</v>
      </c>
      <c r="R3978">
        <v>0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0</v>
      </c>
      <c r="Y3978">
        <v>0</v>
      </c>
      <c r="Z3978">
        <v>3</v>
      </c>
      <c r="AA3978">
        <v>0</v>
      </c>
      <c r="AC3978">
        <v>10.199999999999999</v>
      </c>
    </row>
    <row r="3979" spans="1:29">
      <c r="A3979">
        <v>3972</v>
      </c>
      <c r="B3979">
        <v>4450</v>
      </c>
      <c r="C3979" t="s">
        <v>8099</v>
      </c>
      <c r="D3979" t="s">
        <v>170</v>
      </c>
      <c r="E3979" t="s">
        <v>134</v>
      </c>
      <c r="F3979" t="s">
        <v>8100</v>
      </c>
      <c r="G3979" t="str">
        <f>"00860656"</f>
        <v>00860656</v>
      </c>
      <c r="H3979">
        <v>7.2</v>
      </c>
      <c r="I3979">
        <v>0</v>
      </c>
      <c r="M3979">
        <v>0</v>
      </c>
      <c r="N3979">
        <v>0</v>
      </c>
      <c r="O3979">
        <v>0</v>
      </c>
      <c r="P3979">
        <v>7.2</v>
      </c>
      <c r="Q3979">
        <v>0</v>
      </c>
      <c r="R3979">
        <v>0</v>
      </c>
      <c r="S3979">
        <v>0</v>
      </c>
      <c r="T3979">
        <v>0</v>
      </c>
      <c r="U3979">
        <v>0</v>
      </c>
      <c r="V3979">
        <v>0</v>
      </c>
      <c r="W3979">
        <v>0</v>
      </c>
      <c r="X3979">
        <v>0</v>
      </c>
      <c r="Y3979">
        <v>0</v>
      </c>
      <c r="Z3979">
        <v>3</v>
      </c>
      <c r="AA3979">
        <v>0</v>
      </c>
      <c r="AC3979">
        <v>10.199999999999999</v>
      </c>
    </row>
    <row r="3980" spans="1:29">
      <c r="A3980">
        <v>3973</v>
      </c>
      <c r="B3980">
        <v>368</v>
      </c>
      <c r="C3980" t="s">
        <v>8089</v>
      </c>
      <c r="D3980" t="s">
        <v>27</v>
      </c>
      <c r="E3980" t="s">
        <v>8090</v>
      </c>
      <c r="F3980" t="s">
        <v>8091</v>
      </c>
      <c r="G3980" t="str">
        <f>"00855433"</f>
        <v>00855433</v>
      </c>
      <c r="H3980">
        <v>7.2</v>
      </c>
      <c r="I3980">
        <v>0</v>
      </c>
      <c r="M3980">
        <v>0</v>
      </c>
      <c r="N3980">
        <v>0</v>
      </c>
      <c r="O3980">
        <v>0</v>
      </c>
      <c r="P3980">
        <v>7.2</v>
      </c>
      <c r="Q3980">
        <v>0</v>
      </c>
      <c r="R3980">
        <v>0</v>
      </c>
      <c r="S3980">
        <v>0</v>
      </c>
      <c r="T3980">
        <v>0</v>
      </c>
      <c r="U3980">
        <v>0</v>
      </c>
      <c r="V3980">
        <v>0</v>
      </c>
      <c r="W3980">
        <v>0</v>
      </c>
      <c r="X3980">
        <v>0</v>
      </c>
      <c r="Y3980">
        <v>0</v>
      </c>
      <c r="Z3980">
        <v>3</v>
      </c>
      <c r="AA3980">
        <v>0</v>
      </c>
      <c r="AC3980">
        <v>10.199999999999999</v>
      </c>
    </row>
    <row r="3981" spans="1:29">
      <c r="A3981">
        <v>3974</v>
      </c>
      <c r="B3981">
        <v>2030</v>
      </c>
      <c r="C3981" t="s">
        <v>8097</v>
      </c>
      <c r="D3981" t="s">
        <v>394</v>
      </c>
      <c r="E3981" t="s">
        <v>66</v>
      </c>
      <c r="F3981" t="s">
        <v>8098</v>
      </c>
      <c r="G3981" t="str">
        <f>"00175983"</f>
        <v>00175983</v>
      </c>
      <c r="H3981">
        <v>7.2</v>
      </c>
      <c r="I3981">
        <v>0</v>
      </c>
      <c r="M3981">
        <v>0</v>
      </c>
      <c r="N3981">
        <v>0</v>
      </c>
      <c r="O3981">
        <v>0</v>
      </c>
      <c r="P3981">
        <v>7.2</v>
      </c>
      <c r="Q3981">
        <v>0</v>
      </c>
      <c r="R3981">
        <v>0</v>
      </c>
      <c r="S3981">
        <v>0</v>
      </c>
      <c r="T3981">
        <v>0</v>
      </c>
      <c r="U3981">
        <v>0</v>
      </c>
      <c r="V3981">
        <v>0</v>
      </c>
      <c r="W3981">
        <v>0</v>
      </c>
      <c r="X3981">
        <v>0</v>
      </c>
      <c r="Y3981">
        <v>0</v>
      </c>
      <c r="Z3981">
        <v>3</v>
      </c>
      <c r="AA3981">
        <v>0</v>
      </c>
      <c r="AC3981">
        <v>10.199999999999999</v>
      </c>
    </row>
    <row r="3982" spans="1:29">
      <c r="A3982">
        <v>3975</v>
      </c>
      <c r="B3982">
        <v>674</v>
      </c>
      <c r="C3982" t="s">
        <v>8114</v>
      </c>
      <c r="D3982" t="s">
        <v>141</v>
      </c>
      <c r="E3982" t="s">
        <v>36</v>
      </c>
      <c r="F3982" t="s">
        <v>8115</v>
      </c>
      <c r="G3982" t="str">
        <f>"00411621"</f>
        <v>00411621</v>
      </c>
      <c r="H3982">
        <v>0</v>
      </c>
      <c r="I3982">
        <v>0</v>
      </c>
      <c r="M3982">
        <v>0</v>
      </c>
      <c r="N3982">
        <v>4</v>
      </c>
      <c r="O3982">
        <v>0</v>
      </c>
      <c r="P3982">
        <v>4</v>
      </c>
      <c r="Q3982">
        <v>0</v>
      </c>
      <c r="R3982">
        <v>0</v>
      </c>
      <c r="S3982">
        <v>0</v>
      </c>
      <c r="T3982">
        <v>0</v>
      </c>
      <c r="U3982">
        <v>0</v>
      </c>
      <c r="V3982">
        <v>0</v>
      </c>
      <c r="W3982">
        <v>0</v>
      </c>
      <c r="X3982">
        <v>0</v>
      </c>
      <c r="Y3982">
        <v>0</v>
      </c>
      <c r="Z3982">
        <v>6</v>
      </c>
      <c r="AA3982">
        <v>0</v>
      </c>
      <c r="AC3982">
        <v>10</v>
      </c>
    </row>
    <row r="3983" spans="1:29">
      <c r="A3983">
        <v>3976</v>
      </c>
      <c r="B3983">
        <v>2607</v>
      </c>
      <c r="C3983" t="s">
        <v>8106</v>
      </c>
      <c r="D3983" t="s">
        <v>179</v>
      </c>
      <c r="E3983" t="s">
        <v>8107</v>
      </c>
      <c r="F3983" t="s">
        <v>8108</v>
      </c>
      <c r="G3983" t="str">
        <f>"00756993"</f>
        <v>00756993</v>
      </c>
      <c r="H3983">
        <v>0</v>
      </c>
      <c r="I3983">
        <v>0</v>
      </c>
      <c r="M3983">
        <v>0</v>
      </c>
      <c r="N3983">
        <v>4</v>
      </c>
      <c r="O3983">
        <v>0</v>
      </c>
      <c r="P3983">
        <v>4</v>
      </c>
      <c r="Q3983">
        <v>0</v>
      </c>
      <c r="R3983">
        <v>0</v>
      </c>
      <c r="S3983">
        <v>0</v>
      </c>
      <c r="T3983">
        <v>0</v>
      </c>
      <c r="U3983">
        <v>0</v>
      </c>
      <c r="V3983">
        <v>0</v>
      </c>
      <c r="W3983">
        <v>0</v>
      </c>
      <c r="X3983">
        <v>0</v>
      </c>
      <c r="Y3983">
        <v>0</v>
      </c>
      <c r="Z3983">
        <v>6</v>
      </c>
      <c r="AA3983">
        <v>0</v>
      </c>
      <c r="AC3983">
        <v>10</v>
      </c>
    </row>
    <row r="3984" spans="1:29">
      <c r="A3984">
        <v>3977</v>
      </c>
      <c r="B3984">
        <v>3534</v>
      </c>
      <c r="C3984" t="s">
        <v>178</v>
      </c>
      <c r="D3984" t="s">
        <v>205</v>
      </c>
      <c r="E3984" t="s">
        <v>2414</v>
      </c>
      <c r="F3984" t="s">
        <v>8113</v>
      </c>
      <c r="G3984" t="str">
        <f>"00853355"</f>
        <v>00853355</v>
      </c>
      <c r="H3984">
        <v>0</v>
      </c>
      <c r="I3984">
        <v>0</v>
      </c>
      <c r="M3984">
        <v>0</v>
      </c>
      <c r="N3984">
        <v>4</v>
      </c>
      <c r="O3984">
        <v>0</v>
      </c>
      <c r="P3984">
        <v>4</v>
      </c>
      <c r="Q3984">
        <v>0</v>
      </c>
      <c r="R3984">
        <v>0</v>
      </c>
      <c r="S3984">
        <v>0</v>
      </c>
      <c r="T3984">
        <v>0</v>
      </c>
      <c r="U3984">
        <v>0</v>
      </c>
      <c r="V3984">
        <v>0</v>
      </c>
      <c r="W3984">
        <v>0</v>
      </c>
      <c r="X3984">
        <v>0</v>
      </c>
      <c r="Y3984">
        <v>0</v>
      </c>
      <c r="Z3984">
        <v>6</v>
      </c>
      <c r="AA3984">
        <v>0</v>
      </c>
      <c r="AC3984">
        <v>10</v>
      </c>
    </row>
    <row r="3985" spans="1:29">
      <c r="A3985">
        <v>3978</v>
      </c>
      <c r="B3985">
        <v>1330</v>
      </c>
      <c r="C3985" t="s">
        <v>7904</v>
      </c>
      <c r="D3985" t="s">
        <v>216</v>
      </c>
      <c r="E3985" t="s">
        <v>2730</v>
      </c>
      <c r="F3985" t="s">
        <v>8110</v>
      </c>
      <c r="G3985" t="str">
        <f>"00489217"</f>
        <v>00489217</v>
      </c>
      <c r="H3985">
        <v>0</v>
      </c>
      <c r="I3985">
        <v>0</v>
      </c>
      <c r="M3985">
        <v>0</v>
      </c>
      <c r="N3985">
        <v>4</v>
      </c>
      <c r="O3985">
        <v>0</v>
      </c>
      <c r="P3985">
        <v>4</v>
      </c>
      <c r="Q3985">
        <v>0</v>
      </c>
      <c r="R3985">
        <v>0</v>
      </c>
      <c r="S3985">
        <v>0</v>
      </c>
      <c r="T3985">
        <v>0</v>
      </c>
      <c r="U3985">
        <v>0</v>
      </c>
      <c r="V3985">
        <v>0</v>
      </c>
      <c r="W3985">
        <v>0</v>
      </c>
      <c r="X3985">
        <v>0</v>
      </c>
      <c r="Y3985">
        <v>0</v>
      </c>
      <c r="Z3985">
        <v>6</v>
      </c>
      <c r="AA3985">
        <v>0</v>
      </c>
      <c r="AC3985">
        <v>10</v>
      </c>
    </row>
    <row r="3986" spans="1:29">
      <c r="A3986">
        <v>3979</v>
      </c>
      <c r="B3986">
        <v>2671</v>
      </c>
      <c r="C3986" t="s">
        <v>8111</v>
      </c>
      <c r="D3986" t="s">
        <v>811</v>
      </c>
      <c r="E3986" t="s">
        <v>89</v>
      </c>
      <c r="F3986" t="s">
        <v>8112</v>
      </c>
      <c r="G3986" t="str">
        <f>"201511037393"</f>
        <v>201511037393</v>
      </c>
      <c r="H3986">
        <v>0</v>
      </c>
      <c r="I3986">
        <v>0</v>
      </c>
      <c r="M3986">
        <v>0</v>
      </c>
      <c r="N3986">
        <v>4</v>
      </c>
      <c r="O3986">
        <v>0</v>
      </c>
      <c r="P3986">
        <v>4</v>
      </c>
      <c r="Q3986">
        <v>0</v>
      </c>
      <c r="R3986">
        <v>0</v>
      </c>
      <c r="S3986">
        <v>0</v>
      </c>
      <c r="T3986">
        <v>0</v>
      </c>
      <c r="U3986">
        <v>0</v>
      </c>
      <c r="V3986">
        <v>0</v>
      </c>
      <c r="W3986">
        <v>0</v>
      </c>
      <c r="X3986">
        <v>0</v>
      </c>
      <c r="Y3986">
        <v>0</v>
      </c>
      <c r="Z3986">
        <v>6</v>
      </c>
      <c r="AA3986">
        <v>0</v>
      </c>
      <c r="AC3986">
        <v>10</v>
      </c>
    </row>
    <row r="3987" spans="1:29">
      <c r="A3987">
        <v>3980</v>
      </c>
      <c r="B3987">
        <v>2296</v>
      </c>
      <c r="C3987" t="s">
        <v>8101</v>
      </c>
      <c r="D3987" t="s">
        <v>465</v>
      </c>
      <c r="E3987" t="s">
        <v>967</v>
      </c>
      <c r="F3987" t="s">
        <v>8102</v>
      </c>
      <c r="G3987" t="str">
        <f>"00531845"</f>
        <v>00531845</v>
      </c>
      <c r="H3987">
        <v>0</v>
      </c>
      <c r="I3987">
        <v>0</v>
      </c>
      <c r="M3987">
        <v>0</v>
      </c>
      <c r="N3987">
        <v>4</v>
      </c>
      <c r="O3987">
        <v>0</v>
      </c>
      <c r="P3987">
        <v>4</v>
      </c>
      <c r="Q3987">
        <v>0</v>
      </c>
      <c r="R3987">
        <v>0</v>
      </c>
      <c r="S3987">
        <v>0</v>
      </c>
      <c r="T3987">
        <v>0</v>
      </c>
      <c r="U3987">
        <v>0</v>
      </c>
      <c r="V3987">
        <v>0</v>
      </c>
      <c r="W3987">
        <v>0</v>
      </c>
      <c r="X3987">
        <v>0</v>
      </c>
      <c r="Y3987">
        <v>0</v>
      </c>
      <c r="Z3987">
        <v>6</v>
      </c>
      <c r="AA3987">
        <v>0</v>
      </c>
      <c r="AC3987">
        <v>10</v>
      </c>
    </row>
    <row r="3988" spans="1:29">
      <c r="A3988">
        <v>3981</v>
      </c>
      <c r="B3988">
        <v>2003</v>
      </c>
      <c r="C3988" t="s">
        <v>8103</v>
      </c>
      <c r="D3988" t="s">
        <v>1509</v>
      </c>
      <c r="E3988" t="s">
        <v>15</v>
      </c>
      <c r="F3988" t="s">
        <v>8104</v>
      </c>
      <c r="G3988" t="str">
        <f>"00860212"</f>
        <v>00860212</v>
      </c>
      <c r="H3988">
        <v>0</v>
      </c>
      <c r="I3988">
        <v>0</v>
      </c>
      <c r="L3988">
        <v>4</v>
      </c>
      <c r="M3988">
        <v>4</v>
      </c>
      <c r="N3988">
        <v>0</v>
      </c>
      <c r="O3988">
        <v>0</v>
      </c>
      <c r="P3988">
        <v>4</v>
      </c>
      <c r="Q3988">
        <v>0</v>
      </c>
      <c r="R3988">
        <v>0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0</v>
      </c>
      <c r="Y3988">
        <v>0</v>
      </c>
      <c r="Z3988">
        <v>6</v>
      </c>
      <c r="AA3988">
        <v>0</v>
      </c>
      <c r="AC3988">
        <v>10</v>
      </c>
    </row>
    <row r="3989" spans="1:29">
      <c r="A3989">
        <v>3982</v>
      </c>
      <c r="B3989">
        <v>3292</v>
      </c>
      <c r="C3989" t="s">
        <v>996</v>
      </c>
      <c r="D3989" t="s">
        <v>20</v>
      </c>
      <c r="E3989" t="s">
        <v>322</v>
      </c>
      <c r="F3989" t="s">
        <v>8105</v>
      </c>
      <c r="G3989" t="str">
        <f>"00860888"</f>
        <v>00860888</v>
      </c>
      <c r="H3989">
        <v>0</v>
      </c>
      <c r="I3989">
        <v>0</v>
      </c>
      <c r="L3989">
        <v>4</v>
      </c>
      <c r="M3989">
        <v>4</v>
      </c>
      <c r="N3989">
        <v>0</v>
      </c>
      <c r="O3989">
        <v>0</v>
      </c>
      <c r="P3989">
        <v>4</v>
      </c>
      <c r="Q3989">
        <v>0</v>
      </c>
      <c r="R3989">
        <v>0</v>
      </c>
      <c r="S3989">
        <v>0</v>
      </c>
      <c r="T3989">
        <v>0</v>
      </c>
      <c r="U3989">
        <v>0</v>
      </c>
      <c r="V3989">
        <v>0</v>
      </c>
      <c r="W3989">
        <v>0</v>
      </c>
      <c r="X3989">
        <v>0</v>
      </c>
      <c r="Y3989">
        <v>0</v>
      </c>
      <c r="Z3989">
        <v>6</v>
      </c>
      <c r="AA3989">
        <v>0</v>
      </c>
      <c r="AC3989">
        <v>10</v>
      </c>
    </row>
    <row r="3990" spans="1:29">
      <c r="A3990">
        <v>3983</v>
      </c>
      <c r="B3990">
        <v>591</v>
      </c>
      <c r="C3990" t="s">
        <v>1295</v>
      </c>
      <c r="D3990" t="s">
        <v>739</v>
      </c>
      <c r="E3990" t="s">
        <v>533</v>
      </c>
      <c r="F3990" t="s">
        <v>8109</v>
      </c>
      <c r="G3990" t="str">
        <f>"00677192"</f>
        <v>00677192</v>
      </c>
      <c r="H3990">
        <v>0</v>
      </c>
      <c r="I3990">
        <v>0</v>
      </c>
      <c r="L3990">
        <v>4</v>
      </c>
      <c r="M3990">
        <v>4</v>
      </c>
      <c r="N3990">
        <v>0</v>
      </c>
      <c r="O3990">
        <v>0</v>
      </c>
      <c r="P3990">
        <v>4</v>
      </c>
      <c r="Q3990">
        <v>0</v>
      </c>
      <c r="R3990">
        <v>0</v>
      </c>
      <c r="S3990">
        <v>0</v>
      </c>
      <c r="T3990">
        <v>0</v>
      </c>
      <c r="U3990">
        <v>0</v>
      </c>
      <c r="V3990">
        <v>0</v>
      </c>
      <c r="W3990">
        <v>0</v>
      </c>
      <c r="X3990">
        <v>0</v>
      </c>
      <c r="Y3990">
        <v>0</v>
      </c>
      <c r="Z3990">
        <v>6</v>
      </c>
      <c r="AA3990">
        <v>0</v>
      </c>
      <c r="AC3990">
        <v>10</v>
      </c>
    </row>
    <row r="3991" spans="1:29">
      <c r="A3991">
        <v>3984</v>
      </c>
      <c r="B3991">
        <v>4911</v>
      </c>
      <c r="C3991" t="s">
        <v>8116</v>
      </c>
      <c r="D3991" t="s">
        <v>11</v>
      </c>
      <c r="E3991" t="s">
        <v>89</v>
      </c>
      <c r="F3991" t="s">
        <v>8117</v>
      </c>
      <c r="G3991" t="str">
        <f>"00695377"</f>
        <v>00695377</v>
      </c>
      <c r="H3991">
        <v>10</v>
      </c>
      <c r="I3991">
        <v>0</v>
      </c>
      <c r="M3991">
        <v>0</v>
      </c>
      <c r="N3991">
        <v>0</v>
      </c>
      <c r="O3991">
        <v>0</v>
      </c>
      <c r="P3991">
        <v>10</v>
      </c>
      <c r="Q3991">
        <v>0</v>
      </c>
      <c r="R3991">
        <v>0</v>
      </c>
      <c r="S3991">
        <v>0</v>
      </c>
      <c r="T3991">
        <v>0</v>
      </c>
      <c r="U3991">
        <v>0</v>
      </c>
      <c r="V3991">
        <v>0</v>
      </c>
      <c r="W3991">
        <v>0</v>
      </c>
      <c r="X3991">
        <v>0</v>
      </c>
      <c r="Y3991">
        <v>0</v>
      </c>
      <c r="Z3991">
        <v>0</v>
      </c>
      <c r="AA3991">
        <v>0</v>
      </c>
      <c r="AC3991">
        <v>10</v>
      </c>
    </row>
    <row r="3992" spans="1:29">
      <c r="A3992">
        <v>3985</v>
      </c>
      <c r="B3992">
        <v>2878</v>
      </c>
      <c r="C3992" t="s">
        <v>7348</v>
      </c>
      <c r="D3992" t="s">
        <v>52</v>
      </c>
      <c r="E3992" t="s">
        <v>187</v>
      </c>
      <c r="F3992" t="s">
        <v>8129</v>
      </c>
      <c r="G3992" t="str">
        <f>"00773377"</f>
        <v>00773377</v>
      </c>
      <c r="H3992">
        <v>0</v>
      </c>
      <c r="I3992">
        <v>10</v>
      </c>
      <c r="M3992">
        <v>0</v>
      </c>
      <c r="N3992">
        <v>0</v>
      </c>
      <c r="O3992">
        <v>0</v>
      </c>
      <c r="P3992">
        <v>10</v>
      </c>
      <c r="Q3992">
        <v>0</v>
      </c>
      <c r="R3992">
        <v>0</v>
      </c>
      <c r="S3992">
        <v>0</v>
      </c>
      <c r="T3992">
        <v>0</v>
      </c>
      <c r="U3992">
        <v>0</v>
      </c>
      <c r="V3992">
        <v>0</v>
      </c>
      <c r="W3992">
        <v>0</v>
      </c>
      <c r="X3992">
        <v>0</v>
      </c>
      <c r="Y3992">
        <v>0</v>
      </c>
      <c r="Z3992">
        <v>0</v>
      </c>
      <c r="AA3992">
        <v>0</v>
      </c>
      <c r="AC3992">
        <v>10</v>
      </c>
    </row>
    <row r="3993" spans="1:29">
      <c r="A3993">
        <v>3986</v>
      </c>
      <c r="B3993">
        <v>1322</v>
      </c>
      <c r="C3993" t="s">
        <v>8126</v>
      </c>
      <c r="D3993" t="s">
        <v>8127</v>
      </c>
      <c r="E3993" t="s">
        <v>1567</v>
      </c>
      <c r="F3993" t="s">
        <v>8128</v>
      </c>
      <c r="G3993" t="str">
        <f>"00292641"</f>
        <v>00292641</v>
      </c>
      <c r="H3993">
        <v>0</v>
      </c>
      <c r="I3993">
        <v>0</v>
      </c>
      <c r="K3993">
        <v>6</v>
      </c>
      <c r="M3993">
        <v>6</v>
      </c>
      <c r="N3993">
        <v>4</v>
      </c>
      <c r="O3993">
        <v>0</v>
      </c>
      <c r="P3993">
        <v>10</v>
      </c>
      <c r="Q3993">
        <v>0</v>
      </c>
      <c r="R3993">
        <v>0</v>
      </c>
      <c r="S3993">
        <v>0</v>
      </c>
      <c r="T3993">
        <v>0</v>
      </c>
      <c r="U3993">
        <v>0</v>
      </c>
      <c r="V3993">
        <v>0</v>
      </c>
      <c r="W3993">
        <v>0</v>
      </c>
      <c r="X3993">
        <v>0</v>
      </c>
      <c r="Y3993">
        <v>0</v>
      </c>
      <c r="Z3993">
        <v>0</v>
      </c>
      <c r="AA3993">
        <v>0</v>
      </c>
      <c r="AC3993">
        <v>10</v>
      </c>
    </row>
    <row r="3994" spans="1:29">
      <c r="A3994">
        <v>3987</v>
      </c>
      <c r="B3994">
        <v>936</v>
      </c>
      <c r="C3994" t="s">
        <v>8118</v>
      </c>
      <c r="D3994" t="s">
        <v>52</v>
      </c>
      <c r="E3994" t="s">
        <v>1807</v>
      </c>
      <c r="F3994" t="s">
        <v>8119</v>
      </c>
      <c r="G3994" t="str">
        <f>"00768540"</f>
        <v>00768540</v>
      </c>
      <c r="H3994">
        <v>0</v>
      </c>
      <c r="I3994">
        <v>0</v>
      </c>
      <c r="L3994">
        <v>4</v>
      </c>
      <c r="M3994">
        <v>4</v>
      </c>
      <c r="N3994">
        <v>4</v>
      </c>
      <c r="O3994">
        <v>2</v>
      </c>
      <c r="P3994">
        <v>10</v>
      </c>
      <c r="Q3994">
        <v>0</v>
      </c>
      <c r="R3994">
        <v>0</v>
      </c>
      <c r="S3994">
        <v>0</v>
      </c>
      <c r="T3994">
        <v>0</v>
      </c>
      <c r="U3994">
        <v>0</v>
      </c>
      <c r="V3994">
        <v>0</v>
      </c>
      <c r="W3994">
        <v>0</v>
      </c>
      <c r="X3994">
        <v>0</v>
      </c>
      <c r="Y3994">
        <v>0</v>
      </c>
      <c r="Z3994">
        <v>0</v>
      </c>
      <c r="AA3994">
        <v>0</v>
      </c>
      <c r="AC3994">
        <v>10</v>
      </c>
    </row>
    <row r="3995" spans="1:29">
      <c r="A3995">
        <v>3988</v>
      </c>
      <c r="B3995">
        <v>806</v>
      </c>
      <c r="C3995" t="s">
        <v>2652</v>
      </c>
      <c r="D3995" t="s">
        <v>27</v>
      </c>
      <c r="E3995" t="s">
        <v>156</v>
      </c>
      <c r="F3995" t="s">
        <v>8137</v>
      </c>
      <c r="G3995" t="str">
        <f>"00856643"</f>
        <v>00856643</v>
      </c>
      <c r="H3995">
        <v>0</v>
      </c>
      <c r="I3995">
        <v>0</v>
      </c>
      <c r="L3995">
        <v>4</v>
      </c>
      <c r="M3995">
        <v>4</v>
      </c>
      <c r="N3995">
        <v>4</v>
      </c>
      <c r="O3995">
        <v>2</v>
      </c>
      <c r="P3995">
        <v>10</v>
      </c>
      <c r="Q3995">
        <v>0</v>
      </c>
      <c r="R3995">
        <v>0</v>
      </c>
      <c r="S3995">
        <v>0</v>
      </c>
      <c r="T3995">
        <v>0</v>
      </c>
      <c r="U3995">
        <v>0</v>
      </c>
      <c r="V3995">
        <v>0</v>
      </c>
      <c r="W3995">
        <v>0</v>
      </c>
      <c r="X3995">
        <v>0</v>
      </c>
      <c r="Y3995">
        <v>0</v>
      </c>
      <c r="Z3995">
        <v>0</v>
      </c>
      <c r="AA3995">
        <v>0</v>
      </c>
      <c r="AC3995">
        <v>10</v>
      </c>
    </row>
    <row r="3996" spans="1:29">
      <c r="A3996">
        <v>3989</v>
      </c>
      <c r="B3996">
        <v>1259</v>
      </c>
      <c r="C3996" t="s">
        <v>8132</v>
      </c>
      <c r="D3996" t="s">
        <v>8133</v>
      </c>
      <c r="E3996" t="s">
        <v>15</v>
      </c>
      <c r="F3996" t="s">
        <v>8134</v>
      </c>
      <c r="G3996" t="str">
        <f>"00212482"</f>
        <v>00212482</v>
      </c>
      <c r="H3996">
        <v>0</v>
      </c>
      <c r="I3996">
        <v>0</v>
      </c>
      <c r="L3996">
        <v>4</v>
      </c>
      <c r="M3996">
        <v>4</v>
      </c>
      <c r="N3996">
        <v>4</v>
      </c>
      <c r="O3996">
        <v>2</v>
      </c>
      <c r="P3996">
        <v>10</v>
      </c>
      <c r="Q3996">
        <v>0</v>
      </c>
      <c r="R3996">
        <v>0</v>
      </c>
      <c r="S3996">
        <v>0</v>
      </c>
      <c r="T3996">
        <v>0</v>
      </c>
      <c r="U3996">
        <v>0</v>
      </c>
      <c r="V3996">
        <v>0</v>
      </c>
      <c r="W3996">
        <v>0</v>
      </c>
      <c r="X3996">
        <v>0</v>
      </c>
      <c r="Y3996">
        <v>0</v>
      </c>
      <c r="Z3996">
        <v>0</v>
      </c>
      <c r="AA3996">
        <v>0</v>
      </c>
      <c r="AC3996">
        <v>10</v>
      </c>
    </row>
    <row r="3997" spans="1:29">
      <c r="A3997">
        <v>3990</v>
      </c>
      <c r="B3997">
        <v>248</v>
      </c>
      <c r="C3997" t="s">
        <v>8135</v>
      </c>
      <c r="D3997" t="s">
        <v>98</v>
      </c>
      <c r="E3997" t="s">
        <v>18</v>
      </c>
      <c r="F3997" t="s">
        <v>8136</v>
      </c>
      <c r="G3997" t="str">
        <f>"201511040474"</f>
        <v>201511040474</v>
      </c>
      <c r="H3997">
        <v>0</v>
      </c>
      <c r="I3997">
        <v>0</v>
      </c>
      <c r="L3997">
        <v>4</v>
      </c>
      <c r="M3997">
        <v>4</v>
      </c>
      <c r="N3997">
        <v>4</v>
      </c>
      <c r="O3997">
        <v>2</v>
      </c>
      <c r="P3997">
        <v>10</v>
      </c>
      <c r="Q3997">
        <v>0</v>
      </c>
      <c r="R3997">
        <v>0</v>
      </c>
      <c r="S3997">
        <v>0</v>
      </c>
      <c r="T3997">
        <v>0</v>
      </c>
      <c r="U3997">
        <v>0</v>
      </c>
      <c r="V3997">
        <v>0</v>
      </c>
      <c r="W3997">
        <v>0</v>
      </c>
      <c r="X3997">
        <v>0</v>
      </c>
      <c r="Y3997">
        <v>0</v>
      </c>
      <c r="Z3997">
        <v>0</v>
      </c>
      <c r="AA3997">
        <v>0</v>
      </c>
      <c r="AC3997">
        <v>10</v>
      </c>
    </row>
    <row r="3998" spans="1:29">
      <c r="A3998">
        <v>3991</v>
      </c>
      <c r="B3998">
        <v>4595</v>
      </c>
      <c r="C3998" t="s">
        <v>3932</v>
      </c>
      <c r="D3998" t="s">
        <v>39</v>
      </c>
      <c r="E3998" t="s">
        <v>156</v>
      </c>
      <c r="F3998" t="s">
        <v>8138</v>
      </c>
      <c r="G3998" t="str">
        <f>"00864069"</f>
        <v>00864069</v>
      </c>
      <c r="H3998">
        <v>0</v>
      </c>
      <c r="I3998">
        <v>0</v>
      </c>
      <c r="L3998">
        <v>4</v>
      </c>
      <c r="M3998">
        <v>4</v>
      </c>
      <c r="N3998">
        <v>4</v>
      </c>
      <c r="O3998">
        <v>2</v>
      </c>
      <c r="P3998">
        <v>10</v>
      </c>
      <c r="Q3998">
        <v>0</v>
      </c>
      <c r="R3998">
        <v>0</v>
      </c>
      <c r="S3998">
        <v>0</v>
      </c>
      <c r="T3998">
        <v>0</v>
      </c>
      <c r="U3998">
        <v>0</v>
      </c>
      <c r="V3998">
        <v>0</v>
      </c>
      <c r="W3998">
        <v>0</v>
      </c>
      <c r="X3998">
        <v>0</v>
      </c>
      <c r="Y3998">
        <v>0</v>
      </c>
      <c r="Z3998">
        <v>0</v>
      </c>
      <c r="AA3998">
        <v>0</v>
      </c>
      <c r="AC3998">
        <v>10</v>
      </c>
    </row>
    <row r="3999" spans="1:29">
      <c r="A3999">
        <v>3992</v>
      </c>
      <c r="B3999">
        <v>244</v>
      </c>
      <c r="C3999" t="s">
        <v>8130</v>
      </c>
      <c r="D3999" t="s">
        <v>739</v>
      </c>
      <c r="E3999" t="s">
        <v>168</v>
      </c>
      <c r="F3999" t="s">
        <v>8131</v>
      </c>
      <c r="G3999" t="str">
        <f>"00854981"</f>
        <v>00854981</v>
      </c>
      <c r="H3999">
        <v>0</v>
      </c>
      <c r="I3999">
        <v>0</v>
      </c>
      <c r="L3999">
        <v>4</v>
      </c>
      <c r="M3999">
        <v>4</v>
      </c>
      <c r="N3999">
        <v>4</v>
      </c>
      <c r="O3999">
        <v>2</v>
      </c>
      <c r="P3999">
        <v>10</v>
      </c>
      <c r="Q3999">
        <v>0</v>
      </c>
      <c r="R3999">
        <v>0</v>
      </c>
      <c r="S3999">
        <v>0</v>
      </c>
      <c r="T3999">
        <v>0</v>
      </c>
      <c r="U3999">
        <v>0</v>
      </c>
      <c r="V3999">
        <v>0</v>
      </c>
      <c r="W3999">
        <v>0</v>
      </c>
      <c r="X3999">
        <v>0</v>
      </c>
      <c r="Y3999">
        <v>0</v>
      </c>
      <c r="Z3999">
        <v>0</v>
      </c>
      <c r="AA3999">
        <v>0</v>
      </c>
      <c r="AC3999">
        <v>10</v>
      </c>
    </row>
    <row r="4000" spans="1:29">
      <c r="A4000">
        <v>3993</v>
      </c>
      <c r="B4000">
        <v>2477</v>
      </c>
      <c r="C4000" t="s">
        <v>8120</v>
      </c>
      <c r="D4000" t="s">
        <v>159</v>
      </c>
      <c r="E4000" t="s">
        <v>28</v>
      </c>
      <c r="F4000" t="s">
        <v>8121</v>
      </c>
      <c r="G4000" t="str">
        <f>"00529814"</f>
        <v>00529814</v>
      </c>
      <c r="H4000">
        <v>0</v>
      </c>
      <c r="I4000">
        <v>0</v>
      </c>
      <c r="L4000">
        <v>4</v>
      </c>
      <c r="M4000">
        <v>4</v>
      </c>
      <c r="N4000">
        <v>4</v>
      </c>
      <c r="O4000">
        <v>2</v>
      </c>
      <c r="P4000">
        <v>10</v>
      </c>
      <c r="Q4000">
        <v>0</v>
      </c>
      <c r="R4000">
        <v>0</v>
      </c>
      <c r="S4000">
        <v>0</v>
      </c>
      <c r="T4000">
        <v>0</v>
      </c>
      <c r="U4000">
        <v>0</v>
      </c>
      <c r="V4000">
        <v>0</v>
      </c>
      <c r="W4000">
        <v>0</v>
      </c>
      <c r="X4000">
        <v>0</v>
      </c>
      <c r="Y4000">
        <v>0</v>
      </c>
      <c r="Z4000">
        <v>0</v>
      </c>
      <c r="AA4000">
        <v>0</v>
      </c>
      <c r="AC4000">
        <v>10</v>
      </c>
    </row>
    <row r="4001" spans="1:29">
      <c r="A4001">
        <v>3994</v>
      </c>
      <c r="B4001">
        <v>3432</v>
      </c>
      <c r="C4001" t="s">
        <v>8122</v>
      </c>
      <c r="D4001" t="s">
        <v>8123</v>
      </c>
      <c r="E4001" t="s">
        <v>8124</v>
      </c>
      <c r="F4001" t="s">
        <v>8125</v>
      </c>
      <c r="G4001" t="str">
        <f>"00861342"</f>
        <v>00861342</v>
      </c>
      <c r="H4001">
        <v>0</v>
      </c>
      <c r="I4001">
        <v>0</v>
      </c>
      <c r="L4001">
        <v>4</v>
      </c>
      <c r="M4001">
        <v>4</v>
      </c>
      <c r="N4001">
        <v>4</v>
      </c>
      <c r="O4001">
        <v>2</v>
      </c>
      <c r="P4001">
        <v>10</v>
      </c>
      <c r="Q4001">
        <v>0</v>
      </c>
      <c r="R4001">
        <v>0</v>
      </c>
      <c r="S4001">
        <v>0</v>
      </c>
      <c r="T4001">
        <v>0</v>
      </c>
      <c r="U4001">
        <v>0</v>
      </c>
      <c r="V4001">
        <v>0</v>
      </c>
      <c r="W4001">
        <v>0</v>
      </c>
      <c r="X4001">
        <v>0</v>
      </c>
      <c r="Y4001">
        <v>0</v>
      </c>
      <c r="Z4001">
        <v>0</v>
      </c>
      <c r="AA4001">
        <v>0</v>
      </c>
      <c r="AC4001">
        <v>10</v>
      </c>
    </row>
    <row r="4002" spans="1:29">
      <c r="A4002">
        <v>3995</v>
      </c>
      <c r="B4002">
        <v>2463</v>
      </c>
      <c r="C4002" t="s">
        <v>8139</v>
      </c>
      <c r="D4002" t="s">
        <v>39</v>
      </c>
      <c r="E4002" t="s">
        <v>156</v>
      </c>
      <c r="F4002" t="s">
        <v>8140</v>
      </c>
      <c r="G4002" t="str">
        <f>"00865190"</f>
        <v>00865190</v>
      </c>
      <c r="H4002">
        <v>9.6</v>
      </c>
      <c r="I4002">
        <v>0</v>
      </c>
      <c r="M4002">
        <v>0</v>
      </c>
      <c r="N4002">
        <v>0</v>
      </c>
      <c r="O4002">
        <v>0</v>
      </c>
      <c r="P4002">
        <v>9.6</v>
      </c>
      <c r="Q4002">
        <v>0</v>
      </c>
      <c r="R4002">
        <v>0</v>
      </c>
      <c r="S4002">
        <v>0</v>
      </c>
      <c r="T4002">
        <v>0</v>
      </c>
      <c r="U4002">
        <v>0</v>
      </c>
      <c r="V4002">
        <v>0</v>
      </c>
      <c r="W4002">
        <v>0</v>
      </c>
      <c r="X4002">
        <v>0</v>
      </c>
      <c r="Y4002">
        <v>0</v>
      </c>
      <c r="Z4002">
        <v>0</v>
      </c>
      <c r="AA4002">
        <v>0</v>
      </c>
      <c r="AC4002">
        <v>9.6</v>
      </c>
    </row>
    <row r="4003" spans="1:29">
      <c r="A4003">
        <v>3996</v>
      </c>
      <c r="B4003">
        <v>1605</v>
      </c>
      <c r="C4003" t="s">
        <v>8141</v>
      </c>
      <c r="D4003" t="s">
        <v>95</v>
      </c>
      <c r="E4003" t="s">
        <v>227</v>
      </c>
      <c r="F4003" t="s">
        <v>8142</v>
      </c>
      <c r="G4003" t="str">
        <f>"00197425"</f>
        <v>00197425</v>
      </c>
      <c r="H4003">
        <v>6.56</v>
      </c>
      <c r="I4003">
        <v>0</v>
      </c>
      <c r="M4003">
        <v>0</v>
      </c>
      <c r="N4003">
        <v>0</v>
      </c>
      <c r="O4003">
        <v>0</v>
      </c>
      <c r="P4003">
        <v>6.56</v>
      </c>
      <c r="Q4003">
        <v>0</v>
      </c>
      <c r="R4003">
        <v>0</v>
      </c>
      <c r="S4003">
        <v>0</v>
      </c>
      <c r="T4003">
        <v>0</v>
      </c>
      <c r="U4003">
        <v>0</v>
      </c>
      <c r="V4003">
        <v>0</v>
      </c>
      <c r="W4003">
        <v>0</v>
      </c>
      <c r="X4003">
        <v>0</v>
      </c>
      <c r="Y4003">
        <v>0</v>
      </c>
      <c r="Z4003">
        <v>3</v>
      </c>
      <c r="AA4003">
        <v>0</v>
      </c>
      <c r="AC4003">
        <v>9.56</v>
      </c>
    </row>
    <row r="4004" spans="1:29">
      <c r="A4004">
        <v>3997</v>
      </c>
      <c r="B4004">
        <v>4926</v>
      </c>
      <c r="C4004" t="s">
        <v>8144</v>
      </c>
      <c r="D4004" t="s">
        <v>86</v>
      </c>
      <c r="E4004" t="s">
        <v>28</v>
      </c>
      <c r="F4004" t="s">
        <v>8145</v>
      </c>
      <c r="G4004" t="str">
        <f>"00437727"</f>
        <v>00437727</v>
      </c>
      <c r="H4004">
        <v>7.2</v>
      </c>
      <c r="I4004">
        <v>0</v>
      </c>
      <c r="M4004">
        <v>0</v>
      </c>
      <c r="N4004">
        <v>0</v>
      </c>
      <c r="O4004">
        <v>2</v>
      </c>
      <c r="P4004">
        <v>9.1999999999999993</v>
      </c>
      <c r="Q4004">
        <v>0</v>
      </c>
      <c r="R4004">
        <v>0</v>
      </c>
      <c r="S4004">
        <v>0</v>
      </c>
      <c r="T4004">
        <v>0</v>
      </c>
      <c r="U4004">
        <v>0</v>
      </c>
      <c r="V4004">
        <v>0</v>
      </c>
      <c r="W4004">
        <v>0</v>
      </c>
      <c r="X4004">
        <v>0</v>
      </c>
      <c r="Y4004">
        <v>0</v>
      </c>
      <c r="Z4004">
        <v>0</v>
      </c>
      <c r="AA4004">
        <v>0</v>
      </c>
      <c r="AC4004">
        <v>9.1999999999999993</v>
      </c>
    </row>
    <row r="4005" spans="1:29">
      <c r="A4005">
        <v>3998</v>
      </c>
      <c r="B4005">
        <v>4705</v>
      </c>
      <c r="C4005" t="s">
        <v>8146</v>
      </c>
      <c r="D4005" t="s">
        <v>8147</v>
      </c>
      <c r="E4005" t="s">
        <v>15</v>
      </c>
      <c r="F4005" t="s">
        <v>8148</v>
      </c>
      <c r="G4005" t="str">
        <f>"00865828"</f>
        <v>00865828</v>
      </c>
      <c r="H4005">
        <v>7.2</v>
      </c>
      <c r="I4005">
        <v>0</v>
      </c>
      <c r="M4005">
        <v>0</v>
      </c>
      <c r="N4005">
        <v>0</v>
      </c>
      <c r="O4005">
        <v>2</v>
      </c>
      <c r="P4005">
        <v>9.1999999999999993</v>
      </c>
      <c r="Q4005">
        <v>0</v>
      </c>
      <c r="R4005">
        <v>0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  <c r="Y4005">
        <v>0</v>
      </c>
      <c r="Z4005">
        <v>0</v>
      </c>
      <c r="AA4005">
        <v>0</v>
      </c>
      <c r="AC4005">
        <v>9.1999999999999993</v>
      </c>
    </row>
    <row r="4006" spans="1:29">
      <c r="A4006">
        <v>3999</v>
      </c>
      <c r="B4006">
        <v>2908</v>
      </c>
      <c r="C4006" t="s">
        <v>1282</v>
      </c>
      <c r="D4006" t="s">
        <v>52</v>
      </c>
      <c r="E4006" t="s">
        <v>3372</v>
      </c>
      <c r="F4006" t="s">
        <v>8143</v>
      </c>
      <c r="G4006" t="str">
        <f>"00496190"</f>
        <v>00496190</v>
      </c>
      <c r="H4006">
        <v>7.2</v>
      </c>
      <c r="I4006">
        <v>0</v>
      </c>
      <c r="M4006">
        <v>0</v>
      </c>
      <c r="N4006">
        <v>0</v>
      </c>
      <c r="O4006">
        <v>2</v>
      </c>
      <c r="P4006">
        <v>9.1999999999999993</v>
      </c>
      <c r="Q4006">
        <v>0</v>
      </c>
      <c r="R4006">
        <v>0</v>
      </c>
      <c r="S4006">
        <v>0</v>
      </c>
      <c r="T4006">
        <v>0</v>
      </c>
      <c r="U4006">
        <v>0</v>
      </c>
      <c r="V4006">
        <v>0</v>
      </c>
      <c r="W4006">
        <v>0</v>
      </c>
      <c r="X4006">
        <v>0</v>
      </c>
      <c r="Y4006">
        <v>0</v>
      </c>
      <c r="Z4006">
        <v>0</v>
      </c>
      <c r="AA4006">
        <v>0</v>
      </c>
      <c r="AC4006">
        <v>9.1999999999999993</v>
      </c>
    </row>
    <row r="4007" spans="1:29">
      <c r="A4007">
        <v>4000</v>
      </c>
      <c r="B4007">
        <v>4403</v>
      </c>
      <c r="C4007" t="s">
        <v>8149</v>
      </c>
      <c r="D4007" t="s">
        <v>27</v>
      </c>
      <c r="E4007" t="s">
        <v>77</v>
      </c>
      <c r="F4007" t="s">
        <v>8150</v>
      </c>
      <c r="G4007" t="str">
        <f>"00861166"</f>
        <v>00861166</v>
      </c>
      <c r="H4007">
        <v>9.08</v>
      </c>
      <c r="I4007">
        <v>0</v>
      </c>
      <c r="M4007">
        <v>0</v>
      </c>
      <c r="N4007">
        <v>0</v>
      </c>
      <c r="O4007">
        <v>0</v>
      </c>
      <c r="P4007">
        <v>9.08</v>
      </c>
      <c r="Q4007">
        <v>0</v>
      </c>
      <c r="R4007">
        <v>0</v>
      </c>
      <c r="S4007">
        <v>0</v>
      </c>
      <c r="T4007">
        <v>0</v>
      </c>
      <c r="U4007">
        <v>0</v>
      </c>
      <c r="V4007">
        <v>0</v>
      </c>
      <c r="W4007">
        <v>0</v>
      </c>
      <c r="X4007">
        <v>0</v>
      </c>
      <c r="Y4007">
        <v>0</v>
      </c>
      <c r="Z4007">
        <v>0</v>
      </c>
      <c r="AA4007">
        <v>0</v>
      </c>
      <c r="AC4007">
        <v>9.08</v>
      </c>
    </row>
    <row r="4008" spans="1:29">
      <c r="A4008">
        <v>4001</v>
      </c>
      <c r="B4008">
        <v>877</v>
      </c>
      <c r="C4008" t="s">
        <v>7017</v>
      </c>
      <c r="D4008" t="s">
        <v>164</v>
      </c>
      <c r="E4008" t="s">
        <v>227</v>
      </c>
      <c r="F4008" t="s">
        <v>8151</v>
      </c>
      <c r="G4008" t="str">
        <f>"00440076"</f>
        <v>00440076</v>
      </c>
      <c r="H4008">
        <v>0</v>
      </c>
      <c r="I4008">
        <v>0</v>
      </c>
      <c r="M4008">
        <v>0</v>
      </c>
      <c r="N4008">
        <v>0</v>
      </c>
      <c r="O4008">
        <v>0</v>
      </c>
      <c r="P4008">
        <v>0</v>
      </c>
      <c r="Q4008">
        <v>0</v>
      </c>
      <c r="R4008">
        <v>0</v>
      </c>
      <c r="S4008">
        <v>0</v>
      </c>
      <c r="T4008">
        <v>0</v>
      </c>
      <c r="U4008">
        <v>0</v>
      </c>
      <c r="V4008">
        <v>0</v>
      </c>
      <c r="W4008">
        <v>0</v>
      </c>
      <c r="X4008">
        <v>0</v>
      </c>
      <c r="Y4008">
        <v>0</v>
      </c>
      <c r="Z4008">
        <v>9</v>
      </c>
      <c r="AA4008">
        <v>0</v>
      </c>
      <c r="AC4008">
        <v>9</v>
      </c>
    </row>
    <row r="4009" spans="1:29">
      <c r="A4009">
        <v>4002</v>
      </c>
      <c r="B4009">
        <v>1549</v>
      </c>
      <c r="C4009" t="s">
        <v>287</v>
      </c>
      <c r="D4009" t="s">
        <v>820</v>
      </c>
      <c r="E4009" t="s">
        <v>134</v>
      </c>
      <c r="F4009" t="s">
        <v>8152</v>
      </c>
      <c r="G4009" t="str">
        <f>"00033107"</f>
        <v>00033107</v>
      </c>
      <c r="H4009">
        <v>0</v>
      </c>
      <c r="I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>
        <v>0</v>
      </c>
      <c r="V4009">
        <v>0</v>
      </c>
      <c r="W4009">
        <v>0</v>
      </c>
      <c r="X4009">
        <v>0</v>
      </c>
      <c r="Y4009">
        <v>0</v>
      </c>
      <c r="Z4009">
        <v>9</v>
      </c>
      <c r="AA4009">
        <v>0</v>
      </c>
      <c r="AC4009">
        <v>9</v>
      </c>
    </row>
    <row r="4010" spans="1:29">
      <c r="A4010">
        <v>4003</v>
      </c>
      <c r="B4010">
        <v>4231</v>
      </c>
      <c r="C4010" t="s">
        <v>4919</v>
      </c>
      <c r="D4010" t="s">
        <v>159</v>
      </c>
      <c r="E4010" t="s">
        <v>533</v>
      </c>
      <c r="F4010" t="s">
        <v>8158</v>
      </c>
      <c r="G4010" t="str">
        <f>"00863650"</f>
        <v>00863650</v>
      </c>
      <c r="H4010">
        <v>0</v>
      </c>
      <c r="I4010">
        <v>0</v>
      </c>
      <c r="M4010">
        <v>0</v>
      </c>
      <c r="N4010">
        <v>4</v>
      </c>
      <c r="O4010">
        <v>2</v>
      </c>
      <c r="P4010">
        <v>6</v>
      </c>
      <c r="Q4010">
        <v>0</v>
      </c>
      <c r="R4010">
        <v>0</v>
      </c>
      <c r="S4010">
        <v>0</v>
      </c>
      <c r="T4010">
        <v>0</v>
      </c>
      <c r="U4010">
        <v>0</v>
      </c>
      <c r="V4010">
        <v>0</v>
      </c>
      <c r="W4010">
        <v>0</v>
      </c>
      <c r="X4010">
        <v>0</v>
      </c>
      <c r="Y4010">
        <v>0</v>
      </c>
      <c r="Z4010">
        <v>3</v>
      </c>
      <c r="AA4010">
        <v>0</v>
      </c>
      <c r="AC4010">
        <v>9</v>
      </c>
    </row>
    <row r="4011" spans="1:29">
      <c r="A4011">
        <v>4004</v>
      </c>
      <c r="B4011">
        <v>4673</v>
      </c>
      <c r="C4011" t="s">
        <v>2604</v>
      </c>
      <c r="D4011" t="s">
        <v>4742</v>
      </c>
      <c r="E4011" t="s">
        <v>8155</v>
      </c>
      <c r="F4011" t="s">
        <v>8156</v>
      </c>
      <c r="G4011" t="str">
        <f>"00864169"</f>
        <v>00864169</v>
      </c>
      <c r="H4011">
        <v>0</v>
      </c>
      <c r="I4011">
        <v>0</v>
      </c>
      <c r="L4011">
        <v>4</v>
      </c>
      <c r="M4011">
        <v>4</v>
      </c>
      <c r="N4011">
        <v>0</v>
      </c>
      <c r="O4011">
        <v>2</v>
      </c>
      <c r="P4011">
        <v>6</v>
      </c>
      <c r="Q4011">
        <v>0</v>
      </c>
      <c r="R4011">
        <v>0</v>
      </c>
      <c r="S4011">
        <v>0</v>
      </c>
      <c r="T4011">
        <v>0</v>
      </c>
      <c r="U4011">
        <v>0</v>
      </c>
      <c r="V4011">
        <v>0</v>
      </c>
      <c r="W4011">
        <v>0</v>
      </c>
      <c r="X4011">
        <v>0</v>
      </c>
      <c r="Y4011">
        <v>0</v>
      </c>
      <c r="Z4011">
        <v>3</v>
      </c>
      <c r="AA4011">
        <v>0</v>
      </c>
      <c r="AC4011">
        <v>9</v>
      </c>
    </row>
    <row r="4012" spans="1:29">
      <c r="A4012">
        <v>4005</v>
      </c>
      <c r="B4012">
        <v>1528</v>
      </c>
      <c r="C4012" t="s">
        <v>8153</v>
      </c>
      <c r="D4012" t="s">
        <v>108</v>
      </c>
      <c r="E4012" t="s">
        <v>134</v>
      </c>
      <c r="F4012" t="s">
        <v>8154</v>
      </c>
      <c r="G4012" t="str">
        <f>"00789758"</f>
        <v>00789758</v>
      </c>
      <c r="H4012">
        <v>0</v>
      </c>
      <c r="I4012">
        <v>0</v>
      </c>
      <c r="M4012">
        <v>0</v>
      </c>
      <c r="N4012">
        <v>4</v>
      </c>
      <c r="O4012">
        <v>2</v>
      </c>
      <c r="P4012">
        <v>6</v>
      </c>
      <c r="Q4012">
        <v>0</v>
      </c>
      <c r="R4012">
        <v>0</v>
      </c>
      <c r="S4012">
        <v>0</v>
      </c>
      <c r="T4012">
        <v>0</v>
      </c>
      <c r="U4012">
        <v>0</v>
      </c>
      <c r="V4012">
        <v>0</v>
      </c>
      <c r="W4012">
        <v>0</v>
      </c>
      <c r="X4012">
        <v>0</v>
      </c>
      <c r="Y4012">
        <v>0</v>
      </c>
      <c r="Z4012">
        <v>3</v>
      </c>
      <c r="AA4012">
        <v>0</v>
      </c>
      <c r="AC4012">
        <v>9</v>
      </c>
    </row>
    <row r="4013" spans="1:29">
      <c r="A4013">
        <v>4006</v>
      </c>
      <c r="B4013">
        <v>1005</v>
      </c>
      <c r="C4013" t="s">
        <v>1684</v>
      </c>
      <c r="D4013" t="s">
        <v>130</v>
      </c>
      <c r="E4013" t="s">
        <v>15</v>
      </c>
      <c r="F4013" t="s">
        <v>8157</v>
      </c>
      <c r="G4013" t="str">
        <f>"00708562"</f>
        <v>00708562</v>
      </c>
      <c r="H4013">
        <v>0</v>
      </c>
      <c r="I4013">
        <v>0</v>
      </c>
      <c r="M4013">
        <v>0</v>
      </c>
      <c r="N4013">
        <v>4</v>
      </c>
      <c r="O4013">
        <v>2</v>
      </c>
      <c r="P4013">
        <v>6</v>
      </c>
      <c r="Q4013">
        <v>0</v>
      </c>
      <c r="R4013">
        <v>0</v>
      </c>
      <c r="S4013">
        <v>0</v>
      </c>
      <c r="T4013">
        <v>0</v>
      </c>
      <c r="U4013">
        <v>0</v>
      </c>
      <c r="V4013">
        <v>0</v>
      </c>
      <c r="W4013">
        <v>0</v>
      </c>
      <c r="X4013">
        <v>0</v>
      </c>
      <c r="Y4013">
        <v>0</v>
      </c>
      <c r="Z4013">
        <v>3</v>
      </c>
      <c r="AA4013">
        <v>0</v>
      </c>
      <c r="AC4013">
        <v>9</v>
      </c>
    </row>
    <row r="4014" spans="1:29">
      <c r="A4014">
        <v>4007</v>
      </c>
      <c r="B4014">
        <v>3341</v>
      </c>
      <c r="C4014" t="s">
        <v>8159</v>
      </c>
      <c r="D4014" t="s">
        <v>27</v>
      </c>
      <c r="E4014" t="s">
        <v>6457</v>
      </c>
      <c r="F4014" t="s">
        <v>8160</v>
      </c>
      <c r="G4014" t="str">
        <f>"00532295"</f>
        <v>00532295</v>
      </c>
      <c r="H4014">
        <v>0</v>
      </c>
      <c r="I4014">
        <v>0</v>
      </c>
      <c r="M4014">
        <v>0</v>
      </c>
      <c r="N4014">
        <v>0</v>
      </c>
      <c r="O4014">
        <v>0</v>
      </c>
      <c r="P4014">
        <v>0</v>
      </c>
      <c r="Q4014">
        <v>6</v>
      </c>
      <c r="R4014">
        <v>6</v>
      </c>
      <c r="S4014">
        <v>0</v>
      </c>
      <c r="T4014">
        <v>0</v>
      </c>
      <c r="U4014">
        <v>0</v>
      </c>
      <c r="V4014">
        <v>0</v>
      </c>
      <c r="W4014">
        <v>0</v>
      </c>
      <c r="X4014">
        <v>0</v>
      </c>
      <c r="Y4014">
        <v>6</v>
      </c>
      <c r="Z4014">
        <v>3</v>
      </c>
      <c r="AA4014">
        <v>0</v>
      </c>
      <c r="AC4014">
        <v>9</v>
      </c>
    </row>
    <row r="4015" spans="1:29">
      <c r="A4015">
        <v>4008</v>
      </c>
      <c r="B4015">
        <v>3186</v>
      </c>
      <c r="C4015" t="s">
        <v>8161</v>
      </c>
      <c r="D4015" t="s">
        <v>301</v>
      </c>
      <c r="E4015" t="s">
        <v>18</v>
      </c>
      <c r="F4015" t="s">
        <v>8162</v>
      </c>
      <c r="G4015" t="str">
        <f>"00530455"</f>
        <v>00530455</v>
      </c>
      <c r="H4015">
        <v>0</v>
      </c>
      <c r="I4015">
        <v>0</v>
      </c>
      <c r="M4015">
        <v>0</v>
      </c>
      <c r="N4015">
        <v>4</v>
      </c>
      <c r="O4015">
        <v>0</v>
      </c>
      <c r="P4015">
        <v>4</v>
      </c>
      <c r="Q4015">
        <v>5</v>
      </c>
      <c r="R4015">
        <v>5</v>
      </c>
      <c r="S4015">
        <v>0</v>
      </c>
      <c r="T4015">
        <v>0</v>
      </c>
      <c r="U4015">
        <v>0</v>
      </c>
      <c r="V4015">
        <v>0</v>
      </c>
      <c r="W4015">
        <v>0</v>
      </c>
      <c r="X4015">
        <v>0</v>
      </c>
      <c r="Y4015">
        <v>5</v>
      </c>
      <c r="Z4015">
        <v>0</v>
      </c>
      <c r="AA4015">
        <v>0</v>
      </c>
      <c r="AC4015">
        <v>9</v>
      </c>
    </row>
    <row r="4016" spans="1:29">
      <c r="A4016">
        <v>4009</v>
      </c>
      <c r="B4016">
        <v>2157</v>
      </c>
      <c r="C4016" t="s">
        <v>8163</v>
      </c>
      <c r="D4016" t="s">
        <v>24</v>
      </c>
      <c r="E4016" t="s">
        <v>15</v>
      </c>
      <c r="F4016" t="s">
        <v>8164</v>
      </c>
      <c r="G4016" t="str">
        <f>"00861728"</f>
        <v>00861728</v>
      </c>
      <c r="H4016">
        <v>8.8000000000000007</v>
      </c>
      <c r="I4016">
        <v>0</v>
      </c>
      <c r="M4016">
        <v>0</v>
      </c>
      <c r="N4016">
        <v>0</v>
      </c>
      <c r="O4016">
        <v>0</v>
      </c>
      <c r="P4016">
        <v>8.8000000000000007</v>
      </c>
      <c r="Q4016">
        <v>0</v>
      </c>
      <c r="R4016">
        <v>0</v>
      </c>
      <c r="S4016">
        <v>0</v>
      </c>
      <c r="T4016">
        <v>0</v>
      </c>
      <c r="U4016">
        <v>0</v>
      </c>
      <c r="V4016">
        <v>0</v>
      </c>
      <c r="W4016">
        <v>0</v>
      </c>
      <c r="X4016">
        <v>0</v>
      </c>
      <c r="Y4016">
        <v>0</v>
      </c>
      <c r="Z4016">
        <v>0</v>
      </c>
      <c r="AA4016">
        <v>0</v>
      </c>
      <c r="AC4016">
        <v>8.8000000000000007</v>
      </c>
    </row>
    <row r="4017" spans="1:29">
      <c r="A4017">
        <v>4010</v>
      </c>
      <c r="B4017">
        <v>943</v>
      </c>
      <c r="C4017" t="s">
        <v>8165</v>
      </c>
      <c r="D4017" t="s">
        <v>31</v>
      </c>
      <c r="E4017" t="s">
        <v>2835</v>
      </c>
      <c r="F4017" t="s">
        <v>8166</v>
      </c>
      <c r="G4017" t="str">
        <f>"201401000105"</f>
        <v>201401000105</v>
      </c>
      <c r="H4017">
        <v>8.36</v>
      </c>
      <c r="I4017">
        <v>0</v>
      </c>
      <c r="M4017">
        <v>0</v>
      </c>
      <c r="N4017">
        <v>0</v>
      </c>
      <c r="O4017">
        <v>0</v>
      </c>
      <c r="P4017">
        <v>8.36</v>
      </c>
      <c r="Q4017">
        <v>0</v>
      </c>
      <c r="R4017">
        <v>0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0</v>
      </c>
      <c r="Y4017">
        <v>0</v>
      </c>
      <c r="Z4017">
        <v>0</v>
      </c>
      <c r="AA4017">
        <v>0</v>
      </c>
      <c r="AC4017">
        <v>8.36</v>
      </c>
    </row>
    <row r="4018" spans="1:29">
      <c r="A4018">
        <v>4011</v>
      </c>
      <c r="B4018">
        <v>4953</v>
      </c>
      <c r="C4018" t="s">
        <v>8167</v>
      </c>
      <c r="D4018" t="s">
        <v>2750</v>
      </c>
      <c r="E4018" t="s">
        <v>15</v>
      </c>
      <c r="F4018" t="s">
        <v>8168</v>
      </c>
      <c r="G4018" t="str">
        <f>"00012963"</f>
        <v>00012963</v>
      </c>
      <c r="H4018">
        <v>0</v>
      </c>
      <c r="I4018">
        <v>0</v>
      </c>
      <c r="M4018">
        <v>0</v>
      </c>
      <c r="N4018">
        <v>0</v>
      </c>
      <c r="O4018">
        <v>2</v>
      </c>
      <c r="P4018">
        <v>2</v>
      </c>
      <c r="Q4018">
        <v>0</v>
      </c>
      <c r="R4018">
        <v>0</v>
      </c>
      <c r="S4018">
        <v>0</v>
      </c>
      <c r="T4018">
        <v>0</v>
      </c>
      <c r="U4018">
        <v>0</v>
      </c>
      <c r="V4018">
        <v>0</v>
      </c>
      <c r="W4018">
        <v>0</v>
      </c>
      <c r="X4018">
        <v>0</v>
      </c>
      <c r="Y4018">
        <v>0</v>
      </c>
      <c r="Z4018">
        <v>6</v>
      </c>
      <c r="AA4018">
        <v>0</v>
      </c>
      <c r="AC4018">
        <v>8</v>
      </c>
    </row>
    <row r="4019" spans="1:29">
      <c r="A4019">
        <v>4012</v>
      </c>
      <c r="B4019">
        <v>4958</v>
      </c>
      <c r="C4019" t="s">
        <v>8184</v>
      </c>
      <c r="D4019" t="s">
        <v>27</v>
      </c>
      <c r="E4019" t="s">
        <v>36</v>
      </c>
      <c r="F4019" t="s">
        <v>8185</v>
      </c>
      <c r="G4019" t="str">
        <f>"00528649"</f>
        <v>00528649</v>
      </c>
      <c r="H4019">
        <v>0</v>
      </c>
      <c r="I4019">
        <v>0</v>
      </c>
      <c r="L4019">
        <v>4</v>
      </c>
      <c r="M4019">
        <v>4</v>
      </c>
      <c r="N4019">
        <v>4</v>
      </c>
      <c r="O4019">
        <v>0</v>
      </c>
      <c r="P4019">
        <v>8</v>
      </c>
      <c r="Q4019">
        <v>0</v>
      </c>
      <c r="R4019">
        <v>0</v>
      </c>
      <c r="S4019">
        <v>0</v>
      </c>
      <c r="T4019">
        <v>0</v>
      </c>
      <c r="U4019">
        <v>0</v>
      </c>
      <c r="V4019">
        <v>0</v>
      </c>
      <c r="W4019">
        <v>0</v>
      </c>
      <c r="X4019">
        <v>0</v>
      </c>
      <c r="Y4019">
        <v>0</v>
      </c>
      <c r="Z4019">
        <v>0</v>
      </c>
      <c r="AA4019">
        <v>0</v>
      </c>
      <c r="AC4019">
        <v>8</v>
      </c>
    </row>
    <row r="4020" spans="1:29">
      <c r="A4020">
        <v>4013</v>
      </c>
      <c r="B4020">
        <v>3703</v>
      </c>
      <c r="C4020" t="s">
        <v>8182</v>
      </c>
      <c r="D4020" t="s">
        <v>7030</v>
      </c>
      <c r="E4020" t="s">
        <v>18</v>
      </c>
      <c r="F4020" t="s">
        <v>8183</v>
      </c>
      <c r="G4020" t="str">
        <f>"00860107"</f>
        <v>00860107</v>
      </c>
      <c r="H4020">
        <v>0</v>
      </c>
      <c r="I4020">
        <v>0</v>
      </c>
      <c r="L4020">
        <v>4</v>
      </c>
      <c r="M4020">
        <v>4</v>
      </c>
      <c r="N4020">
        <v>4</v>
      </c>
      <c r="O4020">
        <v>0</v>
      </c>
      <c r="P4020">
        <v>8</v>
      </c>
      <c r="Q4020">
        <v>0</v>
      </c>
      <c r="R4020">
        <v>0</v>
      </c>
      <c r="S4020">
        <v>0</v>
      </c>
      <c r="T4020">
        <v>0</v>
      </c>
      <c r="U4020">
        <v>0</v>
      </c>
      <c r="V4020">
        <v>0</v>
      </c>
      <c r="W4020">
        <v>0</v>
      </c>
      <c r="X4020">
        <v>0</v>
      </c>
      <c r="Y4020">
        <v>0</v>
      </c>
      <c r="Z4020">
        <v>0</v>
      </c>
      <c r="AA4020">
        <v>0</v>
      </c>
      <c r="AC4020">
        <v>8</v>
      </c>
    </row>
    <row r="4021" spans="1:29">
      <c r="A4021">
        <v>4014</v>
      </c>
      <c r="B4021">
        <v>3873</v>
      </c>
      <c r="C4021" t="s">
        <v>8175</v>
      </c>
      <c r="D4021" t="s">
        <v>159</v>
      </c>
      <c r="E4021" t="s">
        <v>79</v>
      </c>
      <c r="F4021" t="s">
        <v>8176</v>
      </c>
      <c r="G4021" t="str">
        <f>"00854652"</f>
        <v>00854652</v>
      </c>
      <c r="H4021">
        <v>0</v>
      </c>
      <c r="I4021">
        <v>0</v>
      </c>
      <c r="L4021">
        <v>4</v>
      </c>
      <c r="M4021">
        <v>4</v>
      </c>
      <c r="N4021">
        <v>4</v>
      </c>
      <c r="O4021">
        <v>0</v>
      </c>
      <c r="P4021">
        <v>8</v>
      </c>
      <c r="Q4021">
        <v>0</v>
      </c>
      <c r="R4021">
        <v>0</v>
      </c>
      <c r="S4021">
        <v>0</v>
      </c>
      <c r="T4021">
        <v>0</v>
      </c>
      <c r="U4021">
        <v>0</v>
      </c>
      <c r="V4021">
        <v>0</v>
      </c>
      <c r="W4021">
        <v>0</v>
      </c>
      <c r="X4021">
        <v>0</v>
      </c>
      <c r="Y4021">
        <v>0</v>
      </c>
      <c r="Z4021">
        <v>0</v>
      </c>
      <c r="AA4021">
        <v>0</v>
      </c>
      <c r="AC4021">
        <v>8</v>
      </c>
    </row>
    <row r="4022" spans="1:29">
      <c r="A4022">
        <v>4015</v>
      </c>
      <c r="B4022">
        <v>2507</v>
      </c>
      <c r="C4022" t="s">
        <v>8170</v>
      </c>
      <c r="D4022" t="s">
        <v>27</v>
      </c>
      <c r="E4022" t="s">
        <v>237</v>
      </c>
      <c r="F4022" t="s">
        <v>8171</v>
      </c>
      <c r="G4022" t="str">
        <f>"00605056"</f>
        <v>00605056</v>
      </c>
      <c r="H4022">
        <v>0</v>
      </c>
      <c r="I4022">
        <v>0</v>
      </c>
      <c r="L4022">
        <v>4</v>
      </c>
      <c r="M4022">
        <v>4</v>
      </c>
      <c r="N4022">
        <v>4</v>
      </c>
      <c r="O4022">
        <v>0</v>
      </c>
      <c r="P4022">
        <v>8</v>
      </c>
      <c r="Q4022">
        <v>0</v>
      </c>
      <c r="R4022">
        <v>0</v>
      </c>
      <c r="S4022">
        <v>0</v>
      </c>
      <c r="T4022">
        <v>0</v>
      </c>
      <c r="U4022">
        <v>0</v>
      </c>
      <c r="V4022">
        <v>0</v>
      </c>
      <c r="W4022">
        <v>0</v>
      </c>
      <c r="X4022">
        <v>0</v>
      </c>
      <c r="Y4022">
        <v>0</v>
      </c>
      <c r="Z4022">
        <v>0</v>
      </c>
      <c r="AA4022">
        <v>0</v>
      </c>
      <c r="AC4022">
        <v>8</v>
      </c>
    </row>
    <row r="4023" spans="1:29">
      <c r="A4023">
        <v>4016</v>
      </c>
      <c r="B4023">
        <v>1752</v>
      </c>
      <c r="C4023" t="s">
        <v>2607</v>
      </c>
      <c r="D4023" t="s">
        <v>8180</v>
      </c>
      <c r="E4023" t="s">
        <v>36</v>
      </c>
      <c r="F4023" t="s">
        <v>8181</v>
      </c>
      <c r="G4023" t="str">
        <f>"00863981"</f>
        <v>00863981</v>
      </c>
      <c r="H4023">
        <v>0</v>
      </c>
      <c r="I4023">
        <v>0</v>
      </c>
      <c r="L4023">
        <v>4</v>
      </c>
      <c r="M4023">
        <v>4</v>
      </c>
      <c r="N4023">
        <v>4</v>
      </c>
      <c r="O4023">
        <v>0</v>
      </c>
      <c r="P4023">
        <v>8</v>
      </c>
      <c r="Q4023">
        <v>0</v>
      </c>
      <c r="R4023">
        <v>0</v>
      </c>
      <c r="S4023">
        <v>0</v>
      </c>
      <c r="T4023">
        <v>0</v>
      </c>
      <c r="U4023">
        <v>0</v>
      </c>
      <c r="V4023">
        <v>0</v>
      </c>
      <c r="W4023">
        <v>0</v>
      </c>
      <c r="X4023">
        <v>0</v>
      </c>
      <c r="Y4023">
        <v>0</v>
      </c>
      <c r="Z4023">
        <v>0</v>
      </c>
      <c r="AA4023">
        <v>0</v>
      </c>
      <c r="AC4023">
        <v>8</v>
      </c>
    </row>
    <row r="4024" spans="1:29">
      <c r="A4024">
        <v>4017</v>
      </c>
      <c r="B4024">
        <v>10</v>
      </c>
      <c r="C4024" t="s">
        <v>8172</v>
      </c>
      <c r="D4024" t="s">
        <v>179</v>
      </c>
      <c r="E4024" t="s">
        <v>8173</v>
      </c>
      <c r="F4024" t="s">
        <v>8174</v>
      </c>
      <c r="G4024" t="str">
        <f>"00479043"</f>
        <v>00479043</v>
      </c>
      <c r="H4024">
        <v>0</v>
      </c>
      <c r="I4024">
        <v>0</v>
      </c>
      <c r="L4024">
        <v>4</v>
      </c>
      <c r="M4024">
        <v>4</v>
      </c>
      <c r="N4024">
        <v>4</v>
      </c>
      <c r="O4024">
        <v>0</v>
      </c>
      <c r="P4024">
        <v>8</v>
      </c>
      <c r="Q4024">
        <v>0</v>
      </c>
      <c r="R4024">
        <v>0</v>
      </c>
      <c r="S4024">
        <v>0</v>
      </c>
      <c r="T4024">
        <v>0</v>
      </c>
      <c r="U4024">
        <v>0</v>
      </c>
      <c r="V4024">
        <v>0</v>
      </c>
      <c r="W4024">
        <v>0</v>
      </c>
      <c r="X4024">
        <v>0</v>
      </c>
      <c r="Y4024">
        <v>0</v>
      </c>
      <c r="Z4024">
        <v>0</v>
      </c>
      <c r="AA4024">
        <v>0</v>
      </c>
      <c r="AC4024">
        <v>8</v>
      </c>
    </row>
    <row r="4025" spans="1:29">
      <c r="A4025">
        <v>4018</v>
      </c>
      <c r="B4025">
        <v>296</v>
      </c>
      <c r="C4025" t="s">
        <v>8177</v>
      </c>
      <c r="D4025" t="s">
        <v>8178</v>
      </c>
      <c r="E4025" t="s">
        <v>66</v>
      </c>
      <c r="F4025" t="s">
        <v>8179</v>
      </c>
      <c r="G4025" t="str">
        <f>"00076035"</f>
        <v>00076035</v>
      </c>
      <c r="H4025">
        <v>0</v>
      </c>
      <c r="I4025">
        <v>0</v>
      </c>
      <c r="L4025">
        <v>4</v>
      </c>
      <c r="M4025">
        <v>4</v>
      </c>
      <c r="N4025">
        <v>4</v>
      </c>
      <c r="O4025">
        <v>0</v>
      </c>
      <c r="P4025">
        <v>8</v>
      </c>
      <c r="Q4025">
        <v>0</v>
      </c>
      <c r="R4025">
        <v>0</v>
      </c>
      <c r="S4025">
        <v>0</v>
      </c>
      <c r="T4025">
        <v>0</v>
      </c>
      <c r="U4025">
        <v>0</v>
      </c>
      <c r="V4025">
        <v>0</v>
      </c>
      <c r="W4025">
        <v>0</v>
      </c>
      <c r="X4025">
        <v>0</v>
      </c>
      <c r="Y4025">
        <v>0</v>
      </c>
      <c r="Z4025">
        <v>0</v>
      </c>
      <c r="AA4025">
        <v>0</v>
      </c>
      <c r="AC4025">
        <v>8</v>
      </c>
    </row>
    <row r="4026" spans="1:29">
      <c r="A4026">
        <v>4019</v>
      </c>
      <c r="B4026">
        <v>4739</v>
      </c>
      <c r="C4026" t="s">
        <v>8188</v>
      </c>
      <c r="D4026" t="s">
        <v>159</v>
      </c>
      <c r="E4026" t="s">
        <v>66</v>
      </c>
      <c r="F4026" t="s">
        <v>8189</v>
      </c>
      <c r="G4026" t="str">
        <f>"00866080"</f>
        <v>00866080</v>
      </c>
      <c r="H4026">
        <v>0</v>
      </c>
      <c r="I4026">
        <v>0</v>
      </c>
      <c r="L4026">
        <v>4</v>
      </c>
      <c r="M4026">
        <v>4</v>
      </c>
      <c r="N4026">
        <v>4</v>
      </c>
      <c r="O4026">
        <v>0</v>
      </c>
      <c r="P4026">
        <v>8</v>
      </c>
      <c r="Q4026">
        <v>0</v>
      </c>
      <c r="R4026">
        <v>0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0</v>
      </c>
      <c r="Y4026">
        <v>0</v>
      </c>
      <c r="Z4026">
        <v>0</v>
      </c>
      <c r="AA4026">
        <v>0</v>
      </c>
      <c r="AC4026">
        <v>8</v>
      </c>
    </row>
    <row r="4027" spans="1:29">
      <c r="A4027">
        <v>4020</v>
      </c>
      <c r="B4027">
        <v>3112</v>
      </c>
      <c r="C4027" t="s">
        <v>8186</v>
      </c>
      <c r="D4027" t="s">
        <v>86</v>
      </c>
      <c r="E4027" t="s">
        <v>15</v>
      </c>
      <c r="F4027" t="s">
        <v>8187</v>
      </c>
      <c r="G4027" t="str">
        <f>"00428726"</f>
        <v>00428726</v>
      </c>
      <c r="H4027">
        <v>0</v>
      </c>
      <c r="I4027">
        <v>0</v>
      </c>
      <c r="L4027">
        <v>4</v>
      </c>
      <c r="M4027">
        <v>4</v>
      </c>
      <c r="N4027">
        <v>4</v>
      </c>
      <c r="O4027">
        <v>0</v>
      </c>
      <c r="P4027">
        <v>8</v>
      </c>
      <c r="Q4027">
        <v>0</v>
      </c>
      <c r="R4027">
        <v>0</v>
      </c>
      <c r="S4027">
        <v>0</v>
      </c>
      <c r="T4027">
        <v>0</v>
      </c>
      <c r="U4027">
        <v>0</v>
      </c>
      <c r="V4027">
        <v>0</v>
      </c>
      <c r="W4027">
        <v>0</v>
      </c>
      <c r="X4027">
        <v>0</v>
      </c>
      <c r="Y4027">
        <v>0</v>
      </c>
      <c r="Z4027">
        <v>0</v>
      </c>
      <c r="AA4027">
        <v>0</v>
      </c>
      <c r="AC4027">
        <v>8</v>
      </c>
    </row>
    <row r="4028" spans="1:29">
      <c r="A4028">
        <v>4021</v>
      </c>
      <c r="B4028">
        <v>1909</v>
      </c>
      <c r="C4028" t="s">
        <v>1600</v>
      </c>
      <c r="D4028" t="s">
        <v>95</v>
      </c>
      <c r="E4028" t="s">
        <v>18</v>
      </c>
      <c r="F4028" t="s">
        <v>8169</v>
      </c>
      <c r="G4028" t="str">
        <f>"00778103"</f>
        <v>00778103</v>
      </c>
      <c r="H4028">
        <v>0</v>
      </c>
      <c r="I4028">
        <v>0</v>
      </c>
      <c r="L4028">
        <v>4</v>
      </c>
      <c r="M4028">
        <v>4</v>
      </c>
      <c r="N4028">
        <v>4</v>
      </c>
      <c r="O4028">
        <v>0</v>
      </c>
      <c r="P4028">
        <v>8</v>
      </c>
      <c r="Q4028">
        <v>0</v>
      </c>
      <c r="R4028">
        <v>0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0</v>
      </c>
      <c r="Y4028">
        <v>0</v>
      </c>
      <c r="Z4028">
        <v>0</v>
      </c>
      <c r="AA4028">
        <v>0</v>
      </c>
      <c r="AC4028">
        <v>8</v>
      </c>
    </row>
    <row r="4029" spans="1:29">
      <c r="A4029">
        <v>4022</v>
      </c>
      <c r="B4029">
        <v>2399</v>
      </c>
      <c r="C4029" t="s">
        <v>2129</v>
      </c>
      <c r="D4029" t="s">
        <v>159</v>
      </c>
      <c r="E4029" t="s">
        <v>2131</v>
      </c>
      <c r="F4029" t="s">
        <v>8190</v>
      </c>
      <c r="G4029" t="str">
        <f>"00329868"</f>
        <v>00329868</v>
      </c>
      <c r="H4029">
        <v>0</v>
      </c>
      <c r="I4029">
        <v>0</v>
      </c>
      <c r="M4029">
        <v>0</v>
      </c>
      <c r="N4029">
        <v>4</v>
      </c>
      <c r="O4029">
        <v>2</v>
      </c>
      <c r="P4029">
        <v>6</v>
      </c>
      <c r="Q4029">
        <v>2</v>
      </c>
      <c r="R4029">
        <v>2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0</v>
      </c>
      <c r="Y4029">
        <v>2</v>
      </c>
      <c r="Z4029">
        <v>0</v>
      </c>
      <c r="AA4029">
        <v>0</v>
      </c>
      <c r="AC4029">
        <v>8</v>
      </c>
    </row>
    <row r="4030" spans="1:29">
      <c r="A4030">
        <v>4023</v>
      </c>
      <c r="B4030">
        <v>4533</v>
      </c>
      <c r="C4030" t="s">
        <v>8191</v>
      </c>
      <c r="D4030" t="s">
        <v>27</v>
      </c>
      <c r="E4030" t="s">
        <v>89</v>
      </c>
      <c r="F4030" t="s">
        <v>8192</v>
      </c>
      <c r="G4030" t="str">
        <f>"00865522"</f>
        <v>00865522</v>
      </c>
      <c r="H4030">
        <v>0</v>
      </c>
      <c r="I4030">
        <v>0</v>
      </c>
      <c r="M4030">
        <v>0</v>
      </c>
      <c r="N4030">
        <v>4</v>
      </c>
      <c r="O4030">
        <v>0</v>
      </c>
      <c r="P4030">
        <v>4</v>
      </c>
      <c r="Q4030">
        <v>4</v>
      </c>
      <c r="R4030">
        <v>4</v>
      </c>
      <c r="S4030">
        <v>0</v>
      </c>
      <c r="T4030">
        <v>0</v>
      </c>
      <c r="U4030">
        <v>0</v>
      </c>
      <c r="V4030">
        <v>0</v>
      </c>
      <c r="W4030">
        <v>0</v>
      </c>
      <c r="X4030">
        <v>0</v>
      </c>
      <c r="Y4030">
        <v>4</v>
      </c>
      <c r="Z4030">
        <v>0</v>
      </c>
      <c r="AA4030">
        <v>0</v>
      </c>
      <c r="AC4030">
        <v>8</v>
      </c>
    </row>
    <row r="4031" spans="1:29">
      <c r="A4031">
        <v>4024</v>
      </c>
      <c r="B4031">
        <v>1585</v>
      </c>
      <c r="C4031" t="s">
        <v>8193</v>
      </c>
      <c r="D4031" t="s">
        <v>3204</v>
      </c>
      <c r="E4031" t="s">
        <v>8194</v>
      </c>
      <c r="F4031" t="s">
        <v>8195</v>
      </c>
      <c r="G4031" t="str">
        <f>"00529859"</f>
        <v>00529859</v>
      </c>
      <c r="H4031">
        <v>0</v>
      </c>
      <c r="I4031">
        <v>0</v>
      </c>
      <c r="M4031">
        <v>0</v>
      </c>
      <c r="N4031">
        <v>0</v>
      </c>
      <c r="O4031">
        <v>2</v>
      </c>
      <c r="P4031">
        <v>2</v>
      </c>
      <c r="Q4031">
        <v>6</v>
      </c>
      <c r="R4031">
        <v>6</v>
      </c>
      <c r="S4031">
        <v>0</v>
      </c>
      <c r="T4031">
        <v>0</v>
      </c>
      <c r="U4031">
        <v>0</v>
      </c>
      <c r="V4031">
        <v>0</v>
      </c>
      <c r="W4031">
        <v>0</v>
      </c>
      <c r="X4031">
        <v>0</v>
      </c>
      <c r="Y4031">
        <v>6</v>
      </c>
      <c r="Z4031">
        <v>0</v>
      </c>
      <c r="AA4031">
        <v>0</v>
      </c>
      <c r="AC4031">
        <v>8</v>
      </c>
    </row>
    <row r="4032" spans="1:29">
      <c r="A4032">
        <v>4025</v>
      </c>
      <c r="B4032">
        <v>1677</v>
      </c>
      <c r="C4032" t="s">
        <v>8196</v>
      </c>
      <c r="D4032" t="s">
        <v>98</v>
      </c>
      <c r="E4032" t="s">
        <v>15</v>
      </c>
      <c r="F4032" t="s">
        <v>8197</v>
      </c>
      <c r="G4032" t="str">
        <f>"00293092"</f>
        <v>00293092</v>
      </c>
      <c r="H4032">
        <v>7.28</v>
      </c>
      <c r="I4032">
        <v>0</v>
      </c>
      <c r="M4032">
        <v>0</v>
      </c>
      <c r="N4032">
        <v>0</v>
      </c>
      <c r="O4032">
        <v>0</v>
      </c>
      <c r="P4032">
        <v>7.28</v>
      </c>
      <c r="Q4032">
        <v>0</v>
      </c>
      <c r="R4032">
        <v>0</v>
      </c>
      <c r="S4032">
        <v>0</v>
      </c>
      <c r="T4032">
        <v>0</v>
      </c>
      <c r="U4032">
        <v>0</v>
      </c>
      <c r="V4032">
        <v>0</v>
      </c>
      <c r="W4032">
        <v>0</v>
      </c>
      <c r="X4032">
        <v>0</v>
      </c>
      <c r="Y4032">
        <v>0</v>
      </c>
      <c r="Z4032">
        <v>0</v>
      </c>
      <c r="AA4032">
        <v>0</v>
      </c>
      <c r="AC4032">
        <v>7.28</v>
      </c>
    </row>
    <row r="4033" spans="1:29">
      <c r="A4033">
        <v>4026</v>
      </c>
      <c r="B4033">
        <v>2060</v>
      </c>
      <c r="C4033" t="s">
        <v>8201</v>
      </c>
      <c r="D4033" t="s">
        <v>27</v>
      </c>
      <c r="E4033" t="s">
        <v>369</v>
      </c>
      <c r="F4033" t="s">
        <v>8202</v>
      </c>
      <c r="G4033" t="str">
        <f>"00442311"</f>
        <v>00442311</v>
      </c>
      <c r="H4033">
        <v>7.2</v>
      </c>
      <c r="I4033">
        <v>0</v>
      </c>
      <c r="M4033">
        <v>0</v>
      </c>
      <c r="N4033">
        <v>0</v>
      </c>
      <c r="O4033">
        <v>0</v>
      </c>
      <c r="P4033">
        <v>7.2</v>
      </c>
      <c r="Q4033">
        <v>0</v>
      </c>
      <c r="R4033">
        <v>0</v>
      </c>
      <c r="S4033">
        <v>0</v>
      </c>
      <c r="T4033">
        <v>0</v>
      </c>
      <c r="U4033">
        <v>0</v>
      </c>
      <c r="V4033">
        <v>0</v>
      </c>
      <c r="W4033">
        <v>0</v>
      </c>
      <c r="X4033">
        <v>0</v>
      </c>
      <c r="Y4033">
        <v>0</v>
      </c>
      <c r="Z4033">
        <v>0</v>
      </c>
      <c r="AA4033">
        <v>0</v>
      </c>
      <c r="AC4033">
        <v>7.2</v>
      </c>
    </row>
    <row r="4034" spans="1:29">
      <c r="A4034">
        <v>4027</v>
      </c>
      <c r="B4034">
        <v>432</v>
      </c>
      <c r="C4034" t="s">
        <v>8203</v>
      </c>
      <c r="D4034" t="s">
        <v>164</v>
      </c>
      <c r="E4034" t="s">
        <v>122</v>
      </c>
      <c r="F4034" t="s">
        <v>8204</v>
      </c>
      <c r="G4034" t="str">
        <f>"00854659"</f>
        <v>00854659</v>
      </c>
      <c r="H4034">
        <v>7.2</v>
      </c>
      <c r="I4034">
        <v>0</v>
      </c>
      <c r="M4034">
        <v>0</v>
      </c>
      <c r="N4034">
        <v>0</v>
      </c>
      <c r="O4034">
        <v>0</v>
      </c>
      <c r="P4034">
        <v>7.2</v>
      </c>
      <c r="Q4034">
        <v>0</v>
      </c>
      <c r="R4034">
        <v>0</v>
      </c>
      <c r="S4034">
        <v>0</v>
      </c>
      <c r="T4034">
        <v>0</v>
      </c>
      <c r="U4034">
        <v>0</v>
      </c>
      <c r="V4034">
        <v>0</v>
      </c>
      <c r="W4034">
        <v>0</v>
      </c>
      <c r="X4034">
        <v>0</v>
      </c>
      <c r="Y4034">
        <v>0</v>
      </c>
      <c r="Z4034">
        <v>0</v>
      </c>
      <c r="AA4034">
        <v>0</v>
      </c>
      <c r="AC4034">
        <v>7.2</v>
      </c>
    </row>
    <row r="4035" spans="1:29">
      <c r="A4035">
        <v>4028</v>
      </c>
      <c r="B4035">
        <v>209</v>
      </c>
      <c r="C4035" t="s">
        <v>8199</v>
      </c>
      <c r="D4035" t="s">
        <v>6257</v>
      </c>
      <c r="E4035" t="s">
        <v>79</v>
      </c>
      <c r="F4035" t="s">
        <v>8200</v>
      </c>
      <c r="G4035" t="str">
        <f>"00527177"</f>
        <v>00527177</v>
      </c>
      <c r="H4035">
        <v>7.2</v>
      </c>
      <c r="I4035">
        <v>0</v>
      </c>
      <c r="M4035">
        <v>0</v>
      </c>
      <c r="N4035">
        <v>0</v>
      </c>
      <c r="O4035">
        <v>0</v>
      </c>
      <c r="P4035">
        <v>7.2</v>
      </c>
      <c r="Q4035">
        <v>0</v>
      </c>
      <c r="R4035">
        <v>0</v>
      </c>
      <c r="S4035">
        <v>0</v>
      </c>
      <c r="T4035">
        <v>0</v>
      </c>
      <c r="U4035">
        <v>0</v>
      </c>
      <c r="V4035">
        <v>0</v>
      </c>
      <c r="W4035">
        <v>0</v>
      </c>
      <c r="X4035">
        <v>0</v>
      </c>
      <c r="Y4035">
        <v>0</v>
      </c>
      <c r="Z4035">
        <v>0</v>
      </c>
      <c r="AA4035">
        <v>0</v>
      </c>
      <c r="AC4035">
        <v>7.2</v>
      </c>
    </row>
    <row r="4036" spans="1:29">
      <c r="A4036">
        <v>4029</v>
      </c>
      <c r="B4036">
        <v>2642</v>
      </c>
      <c r="C4036" t="s">
        <v>8217</v>
      </c>
      <c r="D4036" t="s">
        <v>31</v>
      </c>
      <c r="E4036" t="s">
        <v>889</v>
      </c>
      <c r="F4036" t="s">
        <v>8218</v>
      </c>
      <c r="G4036" t="str">
        <f>"00863647"</f>
        <v>00863647</v>
      </c>
      <c r="H4036">
        <v>7.2</v>
      </c>
      <c r="I4036">
        <v>0</v>
      </c>
      <c r="M4036">
        <v>0</v>
      </c>
      <c r="N4036">
        <v>0</v>
      </c>
      <c r="O4036">
        <v>0</v>
      </c>
      <c r="P4036">
        <v>7.2</v>
      </c>
      <c r="Q4036">
        <v>0</v>
      </c>
      <c r="R4036">
        <v>0</v>
      </c>
      <c r="S4036">
        <v>0</v>
      </c>
      <c r="T4036">
        <v>0</v>
      </c>
      <c r="U4036">
        <v>0</v>
      </c>
      <c r="V4036">
        <v>0</v>
      </c>
      <c r="W4036">
        <v>0</v>
      </c>
      <c r="X4036">
        <v>0</v>
      </c>
      <c r="Y4036">
        <v>0</v>
      </c>
      <c r="Z4036">
        <v>0</v>
      </c>
      <c r="AA4036">
        <v>0</v>
      </c>
      <c r="AC4036">
        <v>7.2</v>
      </c>
    </row>
    <row r="4037" spans="1:29">
      <c r="A4037">
        <v>4030</v>
      </c>
      <c r="B4037">
        <v>498</v>
      </c>
      <c r="C4037" t="s">
        <v>4211</v>
      </c>
      <c r="D4037" t="s">
        <v>210</v>
      </c>
      <c r="E4037" t="s">
        <v>3139</v>
      </c>
      <c r="F4037" t="s">
        <v>8214</v>
      </c>
      <c r="G4037" t="str">
        <f>"00854937"</f>
        <v>00854937</v>
      </c>
      <c r="H4037">
        <v>7.2</v>
      </c>
      <c r="I4037">
        <v>0</v>
      </c>
      <c r="M4037">
        <v>0</v>
      </c>
      <c r="N4037">
        <v>0</v>
      </c>
      <c r="O4037">
        <v>0</v>
      </c>
      <c r="P4037">
        <v>7.2</v>
      </c>
      <c r="Q4037">
        <v>0</v>
      </c>
      <c r="R4037">
        <v>0</v>
      </c>
      <c r="S4037">
        <v>0</v>
      </c>
      <c r="T4037">
        <v>0</v>
      </c>
      <c r="U4037">
        <v>0</v>
      </c>
      <c r="V4037">
        <v>0</v>
      </c>
      <c r="W4037">
        <v>0</v>
      </c>
      <c r="X4037">
        <v>0</v>
      </c>
      <c r="Y4037">
        <v>0</v>
      </c>
      <c r="Z4037">
        <v>0</v>
      </c>
      <c r="AA4037">
        <v>0</v>
      </c>
      <c r="AC4037">
        <v>7.2</v>
      </c>
    </row>
    <row r="4038" spans="1:29">
      <c r="A4038">
        <v>4031</v>
      </c>
      <c r="B4038">
        <v>3052</v>
      </c>
      <c r="C4038" t="s">
        <v>8219</v>
      </c>
      <c r="D4038" t="s">
        <v>141</v>
      </c>
      <c r="E4038" t="s">
        <v>15</v>
      </c>
      <c r="F4038" t="s">
        <v>8220</v>
      </c>
      <c r="G4038" t="str">
        <f>"00529835"</f>
        <v>00529835</v>
      </c>
      <c r="H4038">
        <v>7.2</v>
      </c>
      <c r="I4038">
        <v>0</v>
      </c>
      <c r="M4038">
        <v>0</v>
      </c>
      <c r="N4038">
        <v>0</v>
      </c>
      <c r="O4038">
        <v>0</v>
      </c>
      <c r="P4038">
        <v>7.2</v>
      </c>
      <c r="Q4038">
        <v>0</v>
      </c>
      <c r="R4038">
        <v>0</v>
      </c>
      <c r="S4038">
        <v>0</v>
      </c>
      <c r="T4038">
        <v>0</v>
      </c>
      <c r="U4038">
        <v>0</v>
      </c>
      <c r="V4038">
        <v>0</v>
      </c>
      <c r="W4038">
        <v>0</v>
      </c>
      <c r="X4038">
        <v>0</v>
      </c>
      <c r="Y4038">
        <v>0</v>
      </c>
      <c r="Z4038">
        <v>0</v>
      </c>
      <c r="AA4038">
        <v>0</v>
      </c>
      <c r="AC4038">
        <v>7.2</v>
      </c>
    </row>
    <row r="4039" spans="1:29">
      <c r="A4039">
        <v>4032</v>
      </c>
      <c r="B4039">
        <v>3602</v>
      </c>
      <c r="C4039" t="s">
        <v>8209</v>
      </c>
      <c r="D4039" t="s">
        <v>50</v>
      </c>
      <c r="E4039" t="s">
        <v>115</v>
      </c>
      <c r="F4039" t="s">
        <v>8210</v>
      </c>
      <c r="G4039" t="str">
        <f>"00518704"</f>
        <v>00518704</v>
      </c>
      <c r="H4039">
        <v>7.2</v>
      </c>
      <c r="I4039">
        <v>0</v>
      </c>
      <c r="M4039">
        <v>0</v>
      </c>
      <c r="N4039">
        <v>0</v>
      </c>
      <c r="O4039">
        <v>0</v>
      </c>
      <c r="P4039">
        <v>7.2</v>
      </c>
      <c r="Q4039">
        <v>0</v>
      </c>
      <c r="R4039">
        <v>0</v>
      </c>
      <c r="S4039">
        <v>0</v>
      </c>
      <c r="T4039">
        <v>0</v>
      </c>
      <c r="U4039">
        <v>0</v>
      </c>
      <c r="V4039">
        <v>0</v>
      </c>
      <c r="W4039">
        <v>0</v>
      </c>
      <c r="X4039">
        <v>0</v>
      </c>
      <c r="Y4039">
        <v>0</v>
      </c>
      <c r="Z4039">
        <v>0</v>
      </c>
      <c r="AA4039">
        <v>0</v>
      </c>
      <c r="AC4039">
        <v>7.2</v>
      </c>
    </row>
    <row r="4040" spans="1:29">
      <c r="A4040">
        <v>4033</v>
      </c>
      <c r="B4040">
        <v>3148</v>
      </c>
      <c r="C4040" t="s">
        <v>5383</v>
      </c>
      <c r="D4040" t="s">
        <v>31</v>
      </c>
      <c r="E4040" t="s">
        <v>28</v>
      </c>
      <c r="F4040" t="s">
        <v>8221</v>
      </c>
      <c r="G4040" t="str">
        <f>"00528117"</f>
        <v>00528117</v>
      </c>
      <c r="H4040">
        <v>7.2</v>
      </c>
      <c r="I4040">
        <v>0</v>
      </c>
      <c r="M4040">
        <v>0</v>
      </c>
      <c r="N4040">
        <v>0</v>
      </c>
      <c r="O4040">
        <v>0</v>
      </c>
      <c r="P4040">
        <v>7.2</v>
      </c>
      <c r="Q4040">
        <v>0</v>
      </c>
      <c r="R4040">
        <v>0</v>
      </c>
      <c r="S4040">
        <v>0</v>
      </c>
      <c r="T4040">
        <v>0</v>
      </c>
      <c r="U4040">
        <v>0</v>
      </c>
      <c r="V4040">
        <v>0</v>
      </c>
      <c r="W4040">
        <v>0</v>
      </c>
      <c r="X4040">
        <v>0</v>
      </c>
      <c r="Y4040">
        <v>0</v>
      </c>
      <c r="Z4040">
        <v>0</v>
      </c>
      <c r="AA4040">
        <v>0</v>
      </c>
      <c r="AC4040">
        <v>7.2</v>
      </c>
    </row>
    <row r="4041" spans="1:29">
      <c r="A4041">
        <v>4034</v>
      </c>
      <c r="B4041">
        <v>4374</v>
      </c>
      <c r="C4041" t="s">
        <v>8215</v>
      </c>
      <c r="D4041" t="s">
        <v>179</v>
      </c>
      <c r="E4041" t="s">
        <v>15</v>
      </c>
      <c r="F4041" t="s">
        <v>8216</v>
      </c>
      <c r="G4041" t="str">
        <f>"201511007754"</f>
        <v>201511007754</v>
      </c>
      <c r="H4041">
        <v>7.2</v>
      </c>
      <c r="I4041">
        <v>0</v>
      </c>
      <c r="M4041">
        <v>0</v>
      </c>
      <c r="N4041">
        <v>0</v>
      </c>
      <c r="O4041">
        <v>0</v>
      </c>
      <c r="P4041">
        <v>7.2</v>
      </c>
      <c r="Q4041">
        <v>0</v>
      </c>
      <c r="R4041">
        <v>0</v>
      </c>
      <c r="S4041">
        <v>0</v>
      </c>
      <c r="T4041">
        <v>0</v>
      </c>
      <c r="U4041">
        <v>0</v>
      </c>
      <c r="V4041">
        <v>0</v>
      </c>
      <c r="W4041">
        <v>0</v>
      </c>
      <c r="X4041">
        <v>0</v>
      </c>
      <c r="Y4041">
        <v>0</v>
      </c>
      <c r="Z4041">
        <v>0</v>
      </c>
      <c r="AA4041">
        <v>0</v>
      </c>
      <c r="AC4041">
        <v>7.2</v>
      </c>
    </row>
    <row r="4042" spans="1:29">
      <c r="A4042">
        <v>4035</v>
      </c>
      <c r="B4042">
        <v>193</v>
      </c>
      <c r="C4042" t="s">
        <v>8211</v>
      </c>
      <c r="D4042" t="s">
        <v>8212</v>
      </c>
      <c r="E4042" t="s">
        <v>15</v>
      </c>
      <c r="F4042" t="s">
        <v>8213</v>
      </c>
      <c r="G4042" t="str">
        <f>"00857910"</f>
        <v>00857910</v>
      </c>
      <c r="H4042">
        <v>7.2</v>
      </c>
      <c r="I4042">
        <v>0</v>
      </c>
      <c r="M4042">
        <v>0</v>
      </c>
      <c r="N4042">
        <v>0</v>
      </c>
      <c r="O4042">
        <v>0</v>
      </c>
      <c r="P4042">
        <v>7.2</v>
      </c>
      <c r="Q4042">
        <v>0</v>
      </c>
      <c r="R4042">
        <v>0</v>
      </c>
      <c r="S4042">
        <v>0</v>
      </c>
      <c r="T4042">
        <v>0</v>
      </c>
      <c r="U4042">
        <v>0</v>
      </c>
      <c r="V4042">
        <v>0</v>
      </c>
      <c r="W4042">
        <v>0</v>
      </c>
      <c r="X4042">
        <v>0</v>
      </c>
      <c r="Y4042">
        <v>0</v>
      </c>
      <c r="Z4042">
        <v>0</v>
      </c>
      <c r="AA4042">
        <v>0</v>
      </c>
      <c r="AC4042">
        <v>7.2</v>
      </c>
    </row>
    <row r="4043" spans="1:29">
      <c r="A4043">
        <v>4036</v>
      </c>
      <c r="B4043">
        <v>2583</v>
      </c>
      <c r="C4043" t="s">
        <v>8205</v>
      </c>
      <c r="D4043" t="s">
        <v>8206</v>
      </c>
      <c r="E4043" t="s">
        <v>8207</v>
      </c>
      <c r="F4043" t="s">
        <v>8208</v>
      </c>
      <c r="G4043" t="str">
        <f>"00313311"</f>
        <v>00313311</v>
      </c>
      <c r="H4043">
        <v>7.2</v>
      </c>
      <c r="I4043">
        <v>0</v>
      </c>
      <c r="M4043">
        <v>0</v>
      </c>
      <c r="N4043">
        <v>0</v>
      </c>
      <c r="O4043">
        <v>0</v>
      </c>
      <c r="P4043">
        <v>7.2</v>
      </c>
      <c r="Q4043">
        <v>0</v>
      </c>
      <c r="R4043">
        <v>0</v>
      </c>
      <c r="S4043">
        <v>0</v>
      </c>
      <c r="T4043">
        <v>0</v>
      </c>
      <c r="U4043">
        <v>0</v>
      </c>
      <c r="V4043">
        <v>0</v>
      </c>
      <c r="W4043">
        <v>0</v>
      </c>
      <c r="X4043">
        <v>0</v>
      </c>
      <c r="Y4043">
        <v>0</v>
      </c>
      <c r="Z4043">
        <v>0</v>
      </c>
      <c r="AA4043">
        <v>0</v>
      </c>
      <c r="AC4043">
        <v>7.2</v>
      </c>
    </row>
    <row r="4044" spans="1:29">
      <c r="A4044">
        <v>4037</v>
      </c>
      <c r="B4044">
        <v>2822</v>
      </c>
      <c r="C4044" t="s">
        <v>2043</v>
      </c>
      <c r="D4044" t="s">
        <v>3333</v>
      </c>
      <c r="E4044" t="s">
        <v>79</v>
      </c>
      <c r="F4044" t="s">
        <v>8198</v>
      </c>
      <c r="G4044" t="str">
        <f>"00437768"</f>
        <v>00437768</v>
      </c>
      <c r="H4044">
        <v>7.2</v>
      </c>
      <c r="I4044">
        <v>0</v>
      </c>
      <c r="M4044">
        <v>0</v>
      </c>
      <c r="N4044">
        <v>0</v>
      </c>
      <c r="O4044">
        <v>0</v>
      </c>
      <c r="P4044">
        <v>7.2</v>
      </c>
      <c r="Q4044">
        <v>0</v>
      </c>
      <c r="R4044">
        <v>0</v>
      </c>
      <c r="S4044">
        <v>0</v>
      </c>
      <c r="T4044">
        <v>0</v>
      </c>
      <c r="U4044">
        <v>0</v>
      </c>
      <c r="V4044">
        <v>0</v>
      </c>
      <c r="W4044">
        <v>0</v>
      </c>
      <c r="X4044">
        <v>0</v>
      </c>
      <c r="Y4044">
        <v>0</v>
      </c>
      <c r="Z4044">
        <v>0</v>
      </c>
      <c r="AA4044">
        <v>0</v>
      </c>
      <c r="AC4044">
        <v>7.2</v>
      </c>
    </row>
    <row r="4045" spans="1:29">
      <c r="A4045">
        <v>4038</v>
      </c>
      <c r="B4045">
        <v>3718</v>
      </c>
      <c r="C4045" t="s">
        <v>8222</v>
      </c>
      <c r="D4045" t="s">
        <v>8223</v>
      </c>
      <c r="E4045" t="s">
        <v>1020</v>
      </c>
      <c r="F4045" t="s">
        <v>8224</v>
      </c>
      <c r="G4045" t="str">
        <f>"00865422"</f>
        <v>00865422</v>
      </c>
      <c r="H4045">
        <v>7.2</v>
      </c>
      <c r="I4045">
        <v>0</v>
      </c>
      <c r="M4045">
        <v>0</v>
      </c>
      <c r="N4045">
        <v>0</v>
      </c>
      <c r="O4045">
        <v>0</v>
      </c>
      <c r="P4045">
        <v>7.2</v>
      </c>
      <c r="Q4045">
        <v>0</v>
      </c>
      <c r="R4045">
        <v>0</v>
      </c>
      <c r="S4045">
        <v>0</v>
      </c>
      <c r="T4045">
        <v>0</v>
      </c>
      <c r="U4045">
        <v>0</v>
      </c>
      <c r="V4045">
        <v>0</v>
      </c>
      <c r="W4045">
        <v>0</v>
      </c>
      <c r="X4045">
        <v>0</v>
      </c>
      <c r="Y4045">
        <v>0</v>
      </c>
      <c r="Z4045">
        <v>0</v>
      </c>
      <c r="AA4045">
        <v>0</v>
      </c>
      <c r="AC4045">
        <v>7.2</v>
      </c>
    </row>
    <row r="4046" spans="1:29">
      <c r="A4046">
        <v>4039</v>
      </c>
      <c r="B4046">
        <v>4845</v>
      </c>
      <c r="C4046" t="s">
        <v>3164</v>
      </c>
      <c r="D4046" t="s">
        <v>27</v>
      </c>
      <c r="E4046" t="s">
        <v>337</v>
      </c>
      <c r="F4046" t="s">
        <v>8226</v>
      </c>
      <c r="G4046" t="str">
        <f>"00509045"</f>
        <v>00509045</v>
      </c>
      <c r="H4046">
        <v>0</v>
      </c>
      <c r="I4046">
        <v>0</v>
      </c>
      <c r="M4046">
        <v>0</v>
      </c>
      <c r="N4046">
        <v>4</v>
      </c>
      <c r="O4046">
        <v>0</v>
      </c>
      <c r="P4046">
        <v>4</v>
      </c>
      <c r="Q4046">
        <v>0</v>
      </c>
      <c r="R4046">
        <v>0</v>
      </c>
      <c r="S4046">
        <v>0</v>
      </c>
      <c r="T4046">
        <v>0</v>
      </c>
      <c r="U4046">
        <v>0</v>
      </c>
      <c r="V4046">
        <v>0</v>
      </c>
      <c r="W4046">
        <v>0</v>
      </c>
      <c r="X4046">
        <v>0</v>
      </c>
      <c r="Y4046">
        <v>0</v>
      </c>
      <c r="Z4046">
        <v>3</v>
      </c>
      <c r="AA4046">
        <v>0</v>
      </c>
      <c r="AC4046">
        <v>7</v>
      </c>
    </row>
    <row r="4047" spans="1:29">
      <c r="A4047">
        <v>4040</v>
      </c>
      <c r="B4047">
        <v>443</v>
      </c>
      <c r="C4047" t="s">
        <v>1529</v>
      </c>
      <c r="D4047" t="s">
        <v>784</v>
      </c>
      <c r="E4047" t="s">
        <v>340</v>
      </c>
      <c r="F4047" t="s">
        <v>8225</v>
      </c>
      <c r="G4047" t="str">
        <f>"00717985"</f>
        <v>00717985</v>
      </c>
      <c r="H4047">
        <v>0</v>
      </c>
      <c r="I4047">
        <v>0</v>
      </c>
      <c r="M4047">
        <v>0</v>
      </c>
      <c r="N4047">
        <v>4</v>
      </c>
      <c r="O4047">
        <v>0</v>
      </c>
      <c r="P4047">
        <v>4</v>
      </c>
      <c r="Q4047">
        <v>0</v>
      </c>
      <c r="R4047">
        <v>0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0</v>
      </c>
      <c r="Y4047">
        <v>0</v>
      </c>
      <c r="Z4047">
        <v>3</v>
      </c>
      <c r="AA4047">
        <v>0</v>
      </c>
      <c r="AC4047">
        <v>7</v>
      </c>
    </row>
    <row r="4048" spans="1:29">
      <c r="A4048">
        <v>4041</v>
      </c>
      <c r="B4048">
        <v>2284</v>
      </c>
      <c r="C4048" t="s">
        <v>226</v>
      </c>
      <c r="D4048" t="s">
        <v>733</v>
      </c>
      <c r="E4048" t="s">
        <v>15</v>
      </c>
      <c r="F4048" t="s">
        <v>8227</v>
      </c>
      <c r="G4048" t="str">
        <f>"00804580"</f>
        <v>00804580</v>
      </c>
      <c r="H4048">
        <v>0</v>
      </c>
      <c r="I4048">
        <v>0</v>
      </c>
      <c r="L4048">
        <v>4</v>
      </c>
      <c r="M4048">
        <v>4</v>
      </c>
      <c r="N4048">
        <v>0</v>
      </c>
      <c r="O4048">
        <v>0</v>
      </c>
      <c r="P4048">
        <v>4</v>
      </c>
      <c r="Q4048">
        <v>0</v>
      </c>
      <c r="R4048">
        <v>0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0</v>
      </c>
      <c r="Y4048">
        <v>0</v>
      </c>
      <c r="Z4048">
        <v>3</v>
      </c>
      <c r="AA4048">
        <v>0</v>
      </c>
      <c r="AC4048">
        <v>7</v>
      </c>
    </row>
    <row r="4049" spans="1:29">
      <c r="A4049">
        <v>4042</v>
      </c>
      <c r="B4049">
        <v>4203</v>
      </c>
      <c r="C4049" t="s">
        <v>7026</v>
      </c>
      <c r="D4049" t="s">
        <v>31</v>
      </c>
      <c r="E4049" t="s">
        <v>237</v>
      </c>
      <c r="F4049" t="s">
        <v>8228</v>
      </c>
      <c r="G4049" t="str">
        <f>"00791035"</f>
        <v>00791035</v>
      </c>
      <c r="H4049">
        <v>0</v>
      </c>
      <c r="I4049">
        <v>0</v>
      </c>
      <c r="M4049">
        <v>0</v>
      </c>
      <c r="N4049">
        <v>4</v>
      </c>
      <c r="O4049">
        <v>0</v>
      </c>
      <c r="P4049">
        <v>4</v>
      </c>
      <c r="Q4049">
        <v>0</v>
      </c>
      <c r="R4049">
        <v>0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0</v>
      </c>
      <c r="Y4049">
        <v>0</v>
      </c>
      <c r="Z4049">
        <v>3</v>
      </c>
      <c r="AA4049">
        <v>0</v>
      </c>
      <c r="AC4049">
        <v>7</v>
      </c>
    </row>
    <row r="4050" spans="1:29">
      <c r="A4050">
        <v>4043</v>
      </c>
      <c r="B4050">
        <v>1017</v>
      </c>
      <c r="C4050" t="s">
        <v>6092</v>
      </c>
      <c r="D4050" t="s">
        <v>98</v>
      </c>
      <c r="E4050" t="s">
        <v>122</v>
      </c>
      <c r="F4050" t="s">
        <v>8229</v>
      </c>
      <c r="G4050" t="str">
        <f>"00441782"</f>
        <v>00441782</v>
      </c>
      <c r="H4050">
        <v>0</v>
      </c>
      <c r="I4050">
        <v>0</v>
      </c>
      <c r="M4050">
        <v>0</v>
      </c>
      <c r="N4050">
        <v>0</v>
      </c>
      <c r="O4050">
        <v>0</v>
      </c>
      <c r="P4050">
        <v>0</v>
      </c>
      <c r="Q4050">
        <v>7</v>
      </c>
      <c r="R4050">
        <v>7</v>
      </c>
      <c r="S4050">
        <v>0</v>
      </c>
      <c r="T4050">
        <v>0</v>
      </c>
      <c r="U4050">
        <v>0</v>
      </c>
      <c r="V4050">
        <v>0</v>
      </c>
      <c r="W4050">
        <v>0</v>
      </c>
      <c r="X4050">
        <v>0</v>
      </c>
      <c r="Y4050">
        <v>7</v>
      </c>
      <c r="Z4050">
        <v>0</v>
      </c>
      <c r="AA4050">
        <v>0</v>
      </c>
      <c r="AC4050">
        <v>7</v>
      </c>
    </row>
    <row r="4051" spans="1:29">
      <c r="A4051">
        <v>4044</v>
      </c>
      <c r="B4051">
        <v>2614</v>
      </c>
      <c r="C4051" t="s">
        <v>8230</v>
      </c>
      <c r="D4051" t="s">
        <v>2239</v>
      </c>
      <c r="E4051" t="s">
        <v>18</v>
      </c>
      <c r="F4051" t="s">
        <v>8231</v>
      </c>
      <c r="G4051" t="str">
        <f>"00861584"</f>
        <v>00861584</v>
      </c>
      <c r="H4051">
        <v>6.8</v>
      </c>
      <c r="I4051">
        <v>0</v>
      </c>
      <c r="M4051">
        <v>0</v>
      </c>
      <c r="N4051">
        <v>0</v>
      </c>
      <c r="O4051">
        <v>0</v>
      </c>
      <c r="P4051">
        <v>6.8</v>
      </c>
      <c r="Q4051">
        <v>0</v>
      </c>
      <c r="R4051">
        <v>0</v>
      </c>
      <c r="S4051">
        <v>0</v>
      </c>
      <c r="T4051">
        <v>0</v>
      </c>
      <c r="U4051">
        <v>0</v>
      </c>
      <c r="V4051">
        <v>0</v>
      </c>
      <c r="W4051">
        <v>0</v>
      </c>
      <c r="X4051">
        <v>0</v>
      </c>
      <c r="Y4051">
        <v>0</v>
      </c>
      <c r="Z4051">
        <v>0</v>
      </c>
      <c r="AA4051">
        <v>0</v>
      </c>
      <c r="AC4051">
        <v>6.8</v>
      </c>
    </row>
    <row r="4052" spans="1:29">
      <c r="A4052">
        <v>4045</v>
      </c>
      <c r="B4052">
        <v>2419</v>
      </c>
      <c r="C4052" t="s">
        <v>8232</v>
      </c>
      <c r="D4052" t="s">
        <v>694</v>
      </c>
      <c r="E4052" t="s">
        <v>15</v>
      </c>
      <c r="F4052" t="s">
        <v>8233</v>
      </c>
      <c r="G4052" t="str">
        <f>"00257970"</f>
        <v>00257970</v>
      </c>
      <c r="H4052">
        <v>6.4</v>
      </c>
      <c r="I4052">
        <v>0</v>
      </c>
      <c r="M4052">
        <v>0</v>
      </c>
      <c r="N4052">
        <v>0</v>
      </c>
      <c r="O4052">
        <v>0</v>
      </c>
      <c r="P4052">
        <v>6.4</v>
      </c>
      <c r="Q4052">
        <v>0</v>
      </c>
      <c r="R4052">
        <v>0</v>
      </c>
      <c r="S4052">
        <v>0</v>
      </c>
      <c r="T4052">
        <v>0</v>
      </c>
      <c r="U4052">
        <v>0</v>
      </c>
      <c r="V4052">
        <v>0</v>
      </c>
      <c r="W4052">
        <v>0</v>
      </c>
      <c r="X4052">
        <v>0</v>
      </c>
      <c r="Y4052">
        <v>0</v>
      </c>
      <c r="Z4052">
        <v>0</v>
      </c>
      <c r="AA4052">
        <v>0</v>
      </c>
      <c r="AC4052">
        <v>6.4</v>
      </c>
    </row>
    <row r="4053" spans="1:29">
      <c r="A4053">
        <v>4046</v>
      </c>
      <c r="B4053">
        <v>2040</v>
      </c>
      <c r="C4053" t="s">
        <v>8246</v>
      </c>
      <c r="D4053" t="s">
        <v>1073</v>
      </c>
      <c r="E4053" t="s">
        <v>18</v>
      </c>
      <c r="F4053" t="s">
        <v>8247</v>
      </c>
      <c r="G4053" t="str">
        <f>"00864087"</f>
        <v>00864087</v>
      </c>
      <c r="H4053">
        <v>0</v>
      </c>
      <c r="I4053">
        <v>0</v>
      </c>
      <c r="M4053">
        <v>0</v>
      </c>
      <c r="N4053">
        <v>0</v>
      </c>
      <c r="O4053">
        <v>0</v>
      </c>
      <c r="P4053">
        <v>0</v>
      </c>
      <c r="Q4053">
        <v>0</v>
      </c>
      <c r="R4053">
        <v>0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0</v>
      </c>
      <c r="Y4053">
        <v>0</v>
      </c>
      <c r="Z4053">
        <v>6</v>
      </c>
      <c r="AA4053">
        <v>0</v>
      </c>
      <c r="AC4053">
        <v>6</v>
      </c>
    </row>
    <row r="4054" spans="1:29">
      <c r="A4054">
        <v>4047</v>
      </c>
      <c r="B4054">
        <v>3999</v>
      </c>
      <c r="C4054" t="s">
        <v>8238</v>
      </c>
      <c r="D4054" t="s">
        <v>164</v>
      </c>
      <c r="E4054" t="s">
        <v>36</v>
      </c>
      <c r="F4054" t="s">
        <v>8239</v>
      </c>
      <c r="G4054" t="str">
        <f>"00860966"</f>
        <v>00860966</v>
      </c>
      <c r="H4054">
        <v>0</v>
      </c>
      <c r="I4054">
        <v>0</v>
      </c>
      <c r="M4054">
        <v>0</v>
      </c>
      <c r="N4054">
        <v>0</v>
      </c>
      <c r="O4054">
        <v>0</v>
      </c>
      <c r="P4054">
        <v>0</v>
      </c>
      <c r="Q4054">
        <v>0</v>
      </c>
      <c r="R4054">
        <v>0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0</v>
      </c>
      <c r="Y4054">
        <v>0</v>
      </c>
      <c r="Z4054">
        <v>6</v>
      </c>
      <c r="AA4054">
        <v>0</v>
      </c>
      <c r="AC4054">
        <v>6</v>
      </c>
    </row>
    <row r="4055" spans="1:29">
      <c r="A4055">
        <v>4048</v>
      </c>
      <c r="B4055">
        <v>4576</v>
      </c>
      <c r="C4055" t="s">
        <v>1743</v>
      </c>
      <c r="D4055" t="s">
        <v>261</v>
      </c>
      <c r="E4055" t="s">
        <v>156</v>
      </c>
      <c r="F4055" t="s">
        <v>8243</v>
      </c>
      <c r="G4055" t="str">
        <f>"00722551"</f>
        <v>00722551</v>
      </c>
      <c r="H4055">
        <v>0</v>
      </c>
      <c r="I4055">
        <v>0</v>
      </c>
      <c r="M4055">
        <v>0</v>
      </c>
      <c r="N4055">
        <v>0</v>
      </c>
      <c r="O4055">
        <v>0</v>
      </c>
      <c r="P4055">
        <v>0</v>
      </c>
      <c r="Q4055">
        <v>0</v>
      </c>
      <c r="R4055">
        <v>0</v>
      </c>
      <c r="S4055">
        <v>0</v>
      </c>
      <c r="T4055">
        <v>0</v>
      </c>
      <c r="U4055">
        <v>0</v>
      </c>
      <c r="V4055">
        <v>0</v>
      </c>
      <c r="W4055">
        <v>0</v>
      </c>
      <c r="X4055">
        <v>0</v>
      </c>
      <c r="Y4055">
        <v>0</v>
      </c>
      <c r="Z4055">
        <v>6</v>
      </c>
      <c r="AA4055">
        <v>0</v>
      </c>
      <c r="AC4055">
        <v>6</v>
      </c>
    </row>
    <row r="4056" spans="1:29">
      <c r="A4056">
        <v>4049</v>
      </c>
      <c r="B4056">
        <v>4282</v>
      </c>
      <c r="C4056" t="s">
        <v>3419</v>
      </c>
      <c r="D4056" t="s">
        <v>175</v>
      </c>
      <c r="E4056" t="s">
        <v>66</v>
      </c>
      <c r="F4056" t="s">
        <v>8234</v>
      </c>
      <c r="G4056" t="str">
        <f>"00859377"</f>
        <v>00859377</v>
      </c>
      <c r="H4056">
        <v>0</v>
      </c>
      <c r="I4056">
        <v>0</v>
      </c>
      <c r="M4056">
        <v>0</v>
      </c>
      <c r="N4056">
        <v>0</v>
      </c>
      <c r="O4056">
        <v>0</v>
      </c>
      <c r="P4056">
        <v>0</v>
      </c>
      <c r="Q4056">
        <v>0</v>
      </c>
      <c r="R4056">
        <v>0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0</v>
      </c>
      <c r="Y4056">
        <v>0</v>
      </c>
      <c r="Z4056">
        <v>6</v>
      </c>
      <c r="AA4056">
        <v>0</v>
      </c>
      <c r="AC4056">
        <v>6</v>
      </c>
    </row>
    <row r="4057" spans="1:29">
      <c r="A4057">
        <v>4050</v>
      </c>
      <c r="B4057">
        <v>4859</v>
      </c>
      <c r="C4057" t="s">
        <v>8248</v>
      </c>
      <c r="D4057" t="s">
        <v>20</v>
      </c>
      <c r="E4057" t="s">
        <v>156</v>
      </c>
      <c r="F4057" t="s">
        <v>8249</v>
      </c>
      <c r="G4057" t="str">
        <f>"00690822"</f>
        <v>00690822</v>
      </c>
      <c r="H4057">
        <v>0</v>
      </c>
      <c r="I4057">
        <v>0</v>
      </c>
      <c r="M4057">
        <v>0</v>
      </c>
      <c r="N4057">
        <v>0</v>
      </c>
      <c r="O4057">
        <v>0</v>
      </c>
      <c r="P4057">
        <v>0</v>
      </c>
      <c r="Q4057">
        <v>0</v>
      </c>
      <c r="R4057">
        <v>0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0</v>
      </c>
      <c r="Y4057">
        <v>0</v>
      </c>
      <c r="Z4057">
        <v>6</v>
      </c>
      <c r="AA4057">
        <v>0</v>
      </c>
      <c r="AC4057">
        <v>6</v>
      </c>
    </row>
    <row r="4058" spans="1:29">
      <c r="A4058">
        <v>4051</v>
      </c>
      <c r="B4058">
        <v>771</v>
      </c>
      <c r="C4058" t="s">
        <v>8244</v>
      </c>
      <c r="D4058" t="s">
        <v>549</v>
      </c>
      <c r="E4058" t="s">
        <v>322</v>
      </c>
      <c r="F4058" t="s">
        <v>8245</v>
      </c>
      <c r="G4058" t="str">
        <f>"00531089"</f>
        <v>00531089</v>
      </c>
      <c r="H4058">
        <v>0</v>
      </c>
      <c r="I4058">
        <v>0</v>
      </c>
      <c r="M4058">
        <v>0</v>
      </c>
      <c r="N4058">
        <v>0</v>
      </c>
      <c r="O4058">
        <v>0</v>
      </c>
      <c r="P4058">
        <v>0</v>
      </c>
      <c r="Q4058">
        <v>0</v>
      </c>
      <c r="R4058">
        <v>0</v>
      </c>
      <c r="S4058">
        <v>0</v>
      </c>
      <c r="T4058">
        <v>0</v>
      </c>
      <c r="U4058">
        <v>0</v>
      </c>
      <c r="V4058">
        <v>0</v>
      </c>
      <c r="W4058">
        <v>0</v>
      </c>
      <c r="X4058">
        <v>0</v>
      </c>
      <c r="Y4058">
        <v>0</v>
      </c>
      <c r="Z4058">
        <v>6</v>
      </c>
      <c r="AA4058">
        <v>0</v>
      </c>
      <c r="AC4058">
        <v>6</v>
      </c>
    </row>
    <row r="4059" spans="1:29">
      <c r="A4059">
        <v>4052</v>
      </c>
      <c r="B4059">
        <v>2386</v>
      </c>
      <c r="C4059" t="s">
        <v>5860</v>
      </c>
      <c r="D4059" t="s">
        <v>1370</v>
      </c>
      <c r="E4059" t="s">
        <v>644</v>
      </c>
      <c r="F4059" t="s">
        <v>8250</v>
      </c>
      <c r="G4059" t="str">
        <f>"00705619"</f>
        <v>00705619</v>
      </c>
      <c r="H4059">
        <v>0</v>
      </c>
      <c r="I4059">
        <v>0</v>
      </c>
      <c r="M4059">
        <v>0</v>
      </c>
      <c r="N4059">
        <v>0</v>
      </c>
      <c r="O4059">
        <v>0</v>
      </c>
      <c r="P4059">
        <v>0</v>
      </c>
      <c r="Q4059">
        <v>0</v>
      </c>
      <c r="R4059">
        <v>0</v>
      </c>
      <c r="S4059">
        <v>0</v>
      </c>
      <c r="T4059">
        <v>0</v>
      </c>
      <c r="U4059">
        <v>0</v>
      </c>
      <c r="V4059">
        <v>0</v>
      </c>
      <c r="W4059">
        <v>0</v>
      </c>
      <c r="X4059">
        <v>0</v>
      </c>
      <c r="Y4059">
        <v>0</v>
      </c>
      <c r="Z4059">
        <v>6</v>
      </c>
      <c r="AA4059">
        <v>0</v>
      </c>
      <c r="AC4059">
        <v>6</v>
      </c>
    </row>
    <row r="4060" spans="1:29">
      <c r="A4060">
        <v>4053</v>
      </c>
      <c r="B4060">
        <v>2111</v>
      </c>
      <c r="C4060" t="s">
        <v>8240</v>
      </c>
      <c r="D4060" t="s">
        <v>52</v>
      </c>
      <c r="E4060" t="s">
        <v>8241</v>
      </c>
      <c r="F4060" t="s">
        <v>8242</v>
      </c>
      <c r="G4060" t="str">
        <f>"201510002618"</f>
        <v>201510002618</v>
      </c>
      <c r="H4060">
        <v>0</v>
      </c>
      <c r="I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0</v>
      </c>
      <c r="Y4060">
        <v>0</v>
      </c>
      <c r="Z4060">
        <v>6</v>
      </c>
      <c r="AA4060">
        <v>0</v>
      </c>
      <c r="AC4060">
        <v>6</v>
      </c>
    </row>
    <row r="4061" spans="1:29">
      <c r="A4061">
        <v>4054</v>
      </c>
      <c r="B4061">
        <v>2645</v>
      </c>
      <c r="C4061" t="s">
        <v>8235</v>
      </c>
      <c r="D4061" t="s">
        <v>8236</v>
      </c>
      <c r="E4061" t="s">
        <v>564</v>
      </c>
      <c r="F4061" t="s">
        <v>8237</v>
      </c>
      <c r="G4061" t="str">
        <f>"00656824"</f>
        <v>00656824</v>
      </c>
      <c r="H4061">
        <v>0</v>
      </c>
      <c r="I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>
        <v>0</v>
      </c>
      <c r="V4061">
        <v>0</v>
      </c>
      <c r="W4061">
        <v>0</v>
      </c>
      <c r="X4061">
        <v>0</v>
      </c>
      <c r="Y4061">
        <v>0</v>
      </c>
      <c r="Z4061">
        <v>6</v>
      </c>
      <c r="AA4061">
        <v>0</v>
      </c>
      <c r="AC4061">
        <v>6</v>
      </c>
    </row>
    <row r="4062" spans="1:29">
      <c r="A4062">
        <v>4055</v>
      </c>
      <c r="B4062">
        <v>2752</v>
      </c>
      <c r="C4062" t="s">
        <v>8251</v>
      </c>
      <c r="D4062" t="s">
        <v>1875</v>
      </c>
      <c r="E4062" t="s">
        <v>115</v>
      </c>
      <c r="F4062" t="s">
        <v>8252</v>
      </c>
      <c r="G4062" t="str">
        <f>"00863718"</f>
        <v>00863718</v>
      </c>
      <c r="H4062">
        <v>6</v>
      </c>
      <c r="I4062">
        <v>0</v>
      </c>
      <c r="M4062">
        <v>0</v>
      </c>
      <c r="N4062">
        <v>0</v>
      </c>
      <c r="O4062">
        <v>0</v>
      </c>
      <c r="P4062">
        <v>6</v>
      </c>
      <c r="Q4062">
        <v>0</v>
      </c>
      <c r="R4062">
        <v>0</v>
      </c>
      <c r="S4062">
        <v>0</v>
      </c>
      <c r="T4062">
        <v>0</v>
      </c>
      <c r="U4062">
        <v>0</v>
      </c>
      <c r="V4062">
        <v>0</v>
      </c>
      <c r="W4062">
        <v>0</v>
      </c>
      <c r="X4062">
        <v>0</v>
      </c>
      <c r="Y4062">
        <v>0</v>
      </c>
      <c r="Z4062">
        <v>0</v>
      </c>
      <c r="AA4062">
        <v>0</v>
      </c>
      <c r="AC4062">
        <v>6</v>
      </c>
    </row>
    <row r="4063" spans="1:29">
      <c r="A4063">
        <v>4056</v>
      </c>
      <c r="B4063">
        <v>619</v>
      </c>
      <c r="C4063" t="s">
        <v>8263</v>
      </c>
      <c r="D4063" t="s">
        <v>95</v>
      </c>
      <c r="E4063" t="s">
        <v>36</v>
      </c>
      <c r="F4063" t="s">
        <v>8264</v>
      </c>
      <c r="G4063" t="str">
        <f>"00722120"</f>
        <v>00722120</v>
      </c>
      <c r="H4063">
        <v>0</v>
      </c>
      <c r="I4063">
        <v>0</v>
      </c>
      <c r="M4063">
        <v>0</v>
      </c>
      <c r="N4063">
        <v>4</v>
      </c>
      <c r="O4063">
        <v>2</v>
      </c>
      <c r="P4063">
        <v>6</v>
      </c>
      <c r="Q4063">
        <v>0</v>
      </c>
      <c r="R4063">
        <v>0</v>
      </c>
      <c r="S4063">
        <v>0</v>
      </c>
      <c r="T4063">
        <v>0</v>
      </c>
      <c r="U4063">
        <v>0</v>
      </c>
      <c r="V4063">
        <v>0</v>
      </c>
      <c r="W4063">
        <v>0</v>
      </c>
      <c r="X4063">
        <v>0</v>
      </c>
      <c r="Y4063">
        <v>0</v>
      </c>
      <c r="Z4063">
        <v>0</v>
      </c>
      <c r="AA4063">
        <v>0</v>
      </c>
      <c r="AC4063">
        <v>6</v>
      </c>
    </row>
    <row r="4064" spans="1:29">
      <c r="A4064">
        <v>4057</v>
      </c>
      <c r="B4064">
        <v>4599</v>
      </c>
      <c r="C4064" t="s">
        <v>8267</v>
      </c>
      <c r="D4064" t="s">
        <v>52</v>
      </c>
      <c r="E4064" t="s">
        <v>36</v>
      </c>
      <c r="F4064" t="s">
        <v>8268</v>
      </c>
      <c r="G4064" t="str">
        <f>"201511032049"</f>
        <v>201511032049</v>
      </c>
      <c r="H4064">
        <v>0</v>
      </c>
      <c r="I4064">
        <v>0</v>
      </c>
      <c r="M4064">
        <v>0</v>
      </c>
      <c r="N4064">
        <v>4</v>
      </c>
      <c r="O4064">
        <v>2</v>
      </c>
      <c r="P4064">
        <v>6</v>
      </c>
      <c r="Q4064">
        <v>0</v>
      </c>
      <c r="R4064">
        <v>0</v>
      </c>
      <c r="S4064">
        <v>0</v>
      </c>
      <c r="T4064">
        <v>0</v>
      </c>
      <c r="U4064">
        <v>0</v>
      </c>
      <c r="V4064">
        <v>0</v>
      </c>
      <c r="W4064">
        <v>0</v>
      </c>
      <c r="X4064">
        <v>0</v>
      </c>
      <c r="Y4064">
        <v>0</v>
      </c>
      <c r="Z4064">
        <v>0</v>
      </c>
      <c r="AA4064">
        <v>0</v>
      </c>
      <c r="AC4064">
        <v>6</v>
      </c>
    </row>
    <row r="4065" spans="1:29">
      <c r="A4065">
        <v>4058</v>
      </c>
      <c r="B4065">
        <v>2598</v>
      </c>
      <c r="C4065" t="s">
        <v>8255</v>
      </c>
      <c r="D4065" t="s">
        <v>108</v>
      </c>
      <c r="E4065" t="s">
        <v>122</v>
      </c>
      <c r="F4065" t="s">
        <v>8256</v>
      </c>
      <c r="G4065" t="str">
        <f>"00864829"</f>
        <v>00864829</v>
      </c>
      <c r="H4065">
        <v>0</v>
      </c>
      <c r="I4065">
        <v>0</v>
      </c>
      <c r="L4065">
        <v>4</v>
      </c>
      <c r="M4065">
        <v>4</v>
      </c>
      <c r="N4065">
        <v>0</v>
      </c>
      <c r="O4065">
        <v>2</v>
      </c>
      <c r="P4065">
        <v>6</v>
      </c>
      <c r="Q4065">
        <v>0</v>
      </c>
      <c r="R4065">
        <v>0</v>
      </c>
      <c r="S4065">
        <v>0</v>
      </c>
      <c r="T4065">
        <v>0</v>
      </c>
      <c r="U4065">
        <v>0</v>
      </c>
      <c r="V4065">
        <v>0</v>
      </c>
      <c r="W4065">
        <v>0</v>
      </c>
      <c r="X4065">
        <v>0</v>
      </c>
      <c r="Y4065">
        <v>0</v>
      </c>
      <c r="Z4065">
        <v>0</v>
      </c>
      <c r="AA4065">
        <v>0</v>
      </c>
      <c r="AC4065">
        <v>6</v>
      </c>
    </row>
    <row r="4066" spans="1:29">
      <c r="A4066">
        <v>4059</v>
      </c>
      <c r="B4066">
        <v>1034</v>
      </c>
      <c r="C4066" t="s">
        <v>8265</v>
      </c>
      <c r="D4066" t="s">
        <v>544</v>
      </c>
      <c r="E4066" t="s">
        <v>18</v>
      </c>
      <c r="F4066" t="s">
        <v>8266</v>
      </c>
      <c r="G4066" t="str">
        <f>"00429079"</f>
        <v>00429079</v>
      </c>
      <c r="H4066">
        <v>0</v>
      </c>
      <c r="I4066">
        <v>0</v>
      </c>
      <c r="M4066">
        <v>0</v>
      </c>
      <c r="N4066">
        <v>4</v>
      </c>
      <c r="O4066">
        <v>2</v>
      </c>
      <c r="P4066">
        <v>6</v>
      </c>
      <c r="Q4066">
        <v>0</v>
      </c>
      <c r="R4066">
        <v>0</v>
      </c>
      <c r="S4066">
        <v>0</v>
      </c>
      <c r="T4066">
        <v>0</v>
      </c>
      <c r="U4066">
        <v>0</v>
      </c>
      <c r="V4066">
        <v>0</v>
      </c>
      <c r="W4066">
        <v>0</v>
      </c>
      <c r="X4066">
        <v>0</v>
      </c>
      <c r="Y4066">
        <v>0</v>
      </c>
      <c r="Z4066">
        <v>0</v>
      </c>
      <c r="AA4066">
        <v>0</v>
      </c>
      <c r="AC4066">
        <v>6</v>
      </c>
    </row>
    <row r="4067" spans="1:29">
      <c r="A4067">
        <v>4060</v>
      </c>
      <c r="B4067">
        <v>1586</v>
      </c>
      <c r="C4067" t="s">
        <v>8261</v>
      </c>
      <c r="D4067" t="s">
        <v>27</v>
      </c>
      <c r="E4067" t="s">
        <v>15</v>
      </c>
      <c r="F4067" t="s">
        <v>8262</v>
      </c>
      <c r="G4067" t="str">
        <f>"00161229"</f>
        <v>00161229</v>
      </c>
      <c r="H4067">
        <v>0</v>
      </c>
      <c r="I4067">
        <v>0</v>
      </c>
      <c r="M4067">
        <v>0</v>
      </c>
      <c r="N4067">
        <v>4</v>
      </c>
      <c r="O4067">
        <v>2</v>
      </c>
      <c r="P4067">
        <v>6</v>
      </c>
      <c r="Q4067">
        <v>0</v>
      </c>
      <c r="R4067">
        <v>0</v>
      </c>
      <c r="S4067">
        <v>0</v>
      </c>
      <c r="T4067">
        <v>0</v>
      </c>
      <c r="U4067">
        <v>0</v>
      </c>
      <c r="V4067">
        <v>0</v>
      </c>
      <c r="W4067">
        <v>0</v>
      </c>
      <c r="X4067">
        <v>0</v>
      </c>
      <c r="Y4067">
        <v>0</v>
      </c>
      <c r="Z4067">
        <v>0</v>
      </c>
      <c r="AA4067">
        <v>0</v>
      </c>
      <c r="AC4067">
        <v>6</v>
      </c>
    </row>
    <row r="4068" spans="1:29">
      <c r="A4068">
        <v>4061</v>
      </c>
      <c r="B4068">
        <v>2346</v>
      </c>
      <c r="C4068" t="s">
        <v>163</v>
      </c>
      <c r="D4068" t="s">
        <v>27</v>
      </c>
      <c r="E4068" t="s">
        <v>79</v>
      </c>
      <c r="F4068" t="s">
        <v>8257</v>
      </c>
      <c r="G4068" t="str">
        <f>"00864494"</f>
        <v>00864494</v>
      </c>
      <c r="H4068">
        <v>0</v>
      </c>
      <c r="I4068">
        <v>0</v>
      </c>
      <c r="M4068">
        <v>0</v>
      </c>
      <c r="N4068">
        <v>4</v>
      </c>
      <c r="O4068">
        <v>2</v>
      </c>
      <c r="P4068">
        <v>6</v>
      </c>
      <c r="Q4068">
        <v>0</v>
      </c>
      <c r="R4068">
        <v>0</v>
      </c>
      <c r="S4068">
        <v>0</v>
      </c>
      <c r="T4068">
        <v>0</v>
      </c>
      <c r="U4068">
        <v>0</v>
      </c>
      <c r="V4068">
        <v>0</v>
      </c>
      <c r="W4068">
        <v>0</v>
      </c>
      <c r="X4068">
        <v>0</v>
      </c>
      <c r="Y4068">
        <v>0</v>
      </c>
      <c r="Z4068">
        <v>0</v>
      </c>
      <c r="AA4068">
        <v>0</v>
      </c>
      <c r="AC4068">
        <v>6</v>
      </c>
    </row>
    <row r="4069" spans="1:29">
      <c r="A4069">
        <v>4062</v>
      </c>
      <c r="B4069">
        <v>3123</v>
      </c>
      <c r="C4069" t="s">
        <v>8259</v>
      </c>
      <c r="D4069" t="s">
        <v>108</v>
      </c>
      <c r="E4069" t="s">
        <v>4567</v>
      </c>
      <c r="F4069" t="s">
        <v>8260</v>
      </c>
      <c r="G4069" t="str">
        <f>"00532084"</f>
        <v>00532084</v>
      </c>
      <c r="H4069">
        <v>0</v>
      </c>
      <c r="I4069">
        <v>0</v>
      </c>
      <c r="M4069">
        <v>0</v>
      </c>
      <c r="N4069">
        <v>4</v>
      </c>
      <c r="O4069">
        <v>2</v>
      </c>
      <c r="P4069">
        <v>6</v>
      </c>
      <c r="Q4069">
        <v>0</v>
      </c>
      <c r="R4069">
        <v>0</v>
      </c>
      <c r="S4069">
        <v>0</v>
      </c>
      <c r="T4069">
        <v>0</v>
      </c>
      <c r="U4069">
        <v>0</v>
      </c>
      <c r="V4069">
        <v>0</v>
      </c>
      <c r="W4069">
        <v>0</v>
      </c>
      <c r="X4069">
        <v>0</v>
      </c>
      <c r="Y4069">
        <v>0</v>
      </c>
      <c r="Z4069">
        <v>0</v>
      </c>
      <c r="AA4069">
        <v>0</v>
      </c>
      <c r="AC4069">
        <v>6</v>
      </c>
    </row>
    <row r="4070" spans="1:29">
      <c r="A4070">
        <v>4063</v>
      </c>
      <c r="B4070">
        <v>533</v>
      </c>
      <c r="C4070" t="s">
        <v>4880</v>
      </c>
      <c r="D4070" t="s">
        <v>2276</v>
      </c>
      <c r="E4070" t="s">
        <v>122</v>
      </c>
      <c r="F4070" t="s">
        <v>8258</v>
      </c>
      <c r="G4070" t="str">
        <f>"00559931"</f>
        <v>00559931</v>
      </c>
      <c r="H4070">
        <v>0</v>
      </c>
      <c r="I4070">
        <v>0</v>
      </c>
      <c r="M4070">
        <v>0</v>
      </c>
      <c r="N4070">
        <v>4</v>
      </c>
      <c r="O4070">
        <v>2</v>
      </c>
      <c r="P4070">
        <v>6</v>
      </c>
      <c r="Q4070">
        <v>0</v>
      </c>
      <c r="R4070">
        <v>0</v>
      </c>
      <c r="S4070">
        <v>0</v>
      </c>
      <c r="T4070">
        <v>0</v>
      </c>
      <c r="U4070">
        <v>0</v>
      </c>
      <c r="V4070">
        <v>0</v>
      </c>
      <c r="W4070">
        <v>0</v>
      </c>
      <c r="X4070">
        <v>0</v>
      </c>
      <c r="Y4070">
        <v>0</v>
      </c>
      <c r="Z4070">
        <v>0</v>
      </c>
      <c r="AA4070">
        <v>0</v>
      </c>
      <c r="AC4070">
        <v>6</v>
      </c>
    </row>
    <row r="4071" spans="1:29">
      <c r="A4071">
        <v>4064</v>
      </c>
      <c r="B4071">
        <v>4138</v>
      </c>
      <c r="C4071" t="s">
        <v>7172</v>
      </c>
      <c r="D4071" t="s">
        <v>8253</v>
      </c>
      <c r="E4071" t="s">
        <v>15</v>
      </c>
      <c r="F4071" t="s">
        <v>8254</v>
      </c>
      <c r="G4071" t="str">
        <f>"00461593"</f>
        <v>00461593</v>
      </c>
      <c r="H4071">
        <v>0</v>
      </c>
      <c r="I4071">
        <v>0</v>
      </c>
      <c r="M4071">
        <v>0</v>
      </c>
      <c r="N4071">
        <v>4</v>
      </c>
      <c r="O4071">
        <v>2</v>
      </c>
      <c r="P4071">
        <v>6</v>
      </c>
      <c r="Q4071">
        <v>0</v>
      </c>
      <c r="R4071">
        <v>0</v>
      </c>
      <c r="S4071">
        <v>0</v>
      </c>
      <c r="T4071">
        <v>0</v>
      </c>
      <c r="U4071">
        <v>0</v>
      </c>
      <c r="V4071">
        <v>0</v>
      </c>
      <c r="W4071">
        <v>0</v>
      </c>
      <c r="X4071">
        <v>0</v>
      </c>
      <c r="Y4071">
        <v>0</v>
      </c>
      <c r="Z4071">
        <v>0</v>
      </c>
      <c r="AA4071">
        <v>0</v>
      </c>
      <c r="AC4071">
        <v>6</v>
      </c>
    </row>
    <row r="4072" spans="1:29">
      <c r="A4072">
        <v>4065</v>
      </c>
      <c r="B4072">
        <v>1697</v>
      </c>
      <c r="C4072" t="s">
        <v>8269</v>
      </c>
      <c r="D4072" t="s">
        <v>8270</v>
      </c>
      <c r="E4072" t="s">
        <v>322</v>
      </c>
      <c r="F4072" t="s">
        <v>8271</v>
      </c>
      <c r="G4072" t="str">
        <f>"00864479"</f>
        <v>00864479</v>
      </c>
      <c r="H4072">
        <v>0</v>
      </c>
      <c r="I4072">
        <v>0</v>
      </c>
      <c r="M4072">
        <v>0</v>
      </c>
      <c r="N4072">
        <v>0</v>
      </c>
      <c r="O4072">
        <v>2</v>
      </c>
      <c r="P4072">
        <v>2</v>
      </c>
      <c r="Q4072">
        <v>0</v>
      </c>
      <c r="R4072">
        <v>0</v>
      </c>
      <c r="S4072">
        <v>0</v>
      </c>
      <c r="T4072">
        <v>0</v>
      </c>
      <c r="U4072">
        <v>0</v>
      </c>
      <c r="V4072">
        <v>0</v>
      </c>
      <c r="W4072">
        <v>0</v>
      </c>
      <c r="X4072">
        <v>0</v>
      </c>
      <c r="Y4072">
        <v>0</v>
      </c>
      <c r="Z4072">
        <v>3</v>
      </c>
      <c r="AA4072">
        <v>0</v>
      </c>
      <c r="AC4072">
        <v>5</v>
      </c>
    </row>
    <row r="4073" spans="1:29">
      <c r="A4073">
        <v>4066</v>
      </c>
      <c r="B4073">
        <v>657</v>
      </c>
      <c r="C4073" t="s">
        <v>8272</v>
      </c>
      <c r="D4073" t="s">
        <v>8273</v>
      </c>
      <c r="E4073" t="s">
        <v>134</v>
      </c>
      <c r="F4073" t="s">
        <v>8274</v>
      </c>
      <c r="G4073" t="str">
        <f>"00856266"</f>
        <v>00856266</v>
      </c>
      <c r="H4073">
        <v>0</v>
      </c>
      <c r="I4073">
        <v>0</v>
      </c>
      <c r="M4073">
        <v>0</v>
      </c>
      <c r="N4073">
        <v>4</v>
      </c>
      <c r="O4073">
        <v>0</v>
      </c>
      <c r="P4073">
        <v>4</v>
      </c>
      <c r="Q4073">
        <v>0</v>
      </c>
      <c r="R4073">
        <v>0</v>
      </c>
      <c r="S4073">
        <v>0</v>
      </c>
      <c r="T4073">
        <v>0</v>
      </c>
      <c r="U4073">
        <v>0</v>
      </c>
      <c r="V4073">
        <v>0</v>
      </c>
      <c r="W4073">
        <v>0</v>
      </c>
      <c r="X4073">
        <v>0</v>
      </c>
      <c r="Y4073">
        <v>0</v>
      </c>
      <c r="Z4073">
        <v>0</v>
      </c>
      <c r="AA4073">
        <v>0</v>
      </c>
      <c r="AC4073">
        <v>4</v>
      </c>
    </row>
    <row r="4074" spans="1:29">
      <c r="A4074">
        <v>4067</v>
      </c>
      <c r="B4074">
        <v>4940</v>
      </c>
      <c r="C4074" t="s">
        <v>7725</v>
      </c>
      <c r="D4074" t="s">
        <v>952</v>
      </c>
      <c r="E4074" t="s">
        <v>156</v>
      </c>
      <c r="F4074" t="s">
        <v>8290</v>
      </c>
      <c r="G4074" t="str">
        <f>"00532635"</f>
        <v>00532635</v>
      </c>
      <c r="H4074">
        <v>0</v>
      </c>
      <c r="I4074">
        <v>0</v>
      </c>
      <c r="M4074">
        <v>0</v>
      </c>
      <c r="N4074">
        <v>4</v>
      </c>
      <c r="O4074">
        <v>0</v>
      </c>
      <c r="P4074">
        <v>4</v>
      </c>
      <c r="Q4074">
        <v>0</v>
      </c>
      <c r="R4074">
        <v>0</v>
      </c>
      <c r="S4074">
        <v>0</v>
      </c>
      <c r="T4074">
        <v>0</v>
      </c>
      <c r="U4074">
        <v>0</v>
      </c>
      <c r="V4074">
        <v>0</v>
      </c>
      <c r="W4074">
        <v>0</v>
      </c>
      <c r="X4074">
        <v>0</v>
      </c>
      <c r="Y4074">
        <v>0</v>
      </c>
      <c r="Z4074">
        <v>0</v>
      </c>
      <c r="AA4074">
        <v>0</v>
      </c>
      <c r="AC4074">
        <v>4</v>
      </c>
    </row>
    <row r="4075" spans="1:29">
      <c r="A4075">
        <v>4068</v>
      </c>
      <c r="B4075">
        <v>2536</v>
      </c>
      <c r="C4075" t="s">
        <v>8304</v>
      </c>
      <c r="D4075" t="s">
        <v>98</v>
      </c>
      <c r="E4075" t="s">
        <v>66</v>
      </c>
      <c r="F4075" t="s">
        <v>8305</v>
      </c>
      <c r="G4075" t="str">
        <f>"00337503"</f>
        <v>00337503</v>
      </c>
      <c r="H4075">
        <v>0</v>
      </c>
      <c r="I4075">
        <v>0</v>
      </c>
      <c r="M4075">
        <v>0</v>
      </c>
      <c r="N4075">
        <v>4</v>
      </c>
      <c r="O4075">
        <v>0</v>
      </c>
      <c r="P4075">
        <v>4</v>
      </c>
      <c r="Q4075">
        <v>0</v>
      </c>
      <c r="R4075">
        <v>0</v>
      </c>
      <c r="S4075">
        <v>0</v>
      </c>
      <c r="T4075">
        <v>0</v>
      </c>
      <c r="U4075">
        <v>0</v>
      </c>
      <c r="V4075">
        <v>0</v>
      </c>
      <c r="W4075">
        <v>0</v>
      </c>
      <c r="X4075">
        <v>0</v>
      </c>
      <c r="Y4075">
        <v>0</v>
      </c>
      <c r="Z4075">
        <v>0</v>
      </c>
      <c r="AA4075">
        <v>0</v>
      </c>
      <c r="AC4075">
        <v>4</v>
      </c>
    </row>
    <row r="4076" spans="1:29">
      <c r="A4076">
        <v>4069</v>
      </c>
      <c r="B4076">
        <v>1002</v>
      </c>
      <c r="C4076" t="s">
        <v>3452</v>
      </c>
      <c r="D4076" t="s">
        <v>108</v>
      </c>
      <c r="E4076" t="s">
        <v>15</v>
      </c>
      <c r="F4076" t="s">
        <v>8309</v>
      </c>
      <c r="G4076" t="str">
        <f>"00150533"</f>
        <v>00150533</v>
      </c>
      <c r="H4076">
        <v>0</v>
      </c>
      <c r="I4076">
        <v>0</v>
      </c>
      <c r="M4076">
        <v>0</v>
      </c>
      <c r="N4076">
        <v>4</v>
      </c>
      <c r="O4076">
        <v>0</v>
      </c>
      <c r="P4076">
        <v>4</v>
      </c>
      <c r="Q4076">
        <v>0</v>
      </c>
      <c r="R4076">
        <v>0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0</v>
      </c>
      <c r="Y4076">
        <v>0</v>
      </c>
      <c r="Z4076">
        <v>0</v>
      </c>
      <c r="AA4076">
        <v>0</v>
      </c>
      <c r="AC4076">
        <v>4</v>
      </c>
    </row>
    <row r="4077" spans="1:29">
      <c r="A4077">
        <v>4070</v>
      </c>
      <c r="B4077">
        <v>2790</v>
      </c>
      <c r="C4077" t="s">
        <v>1286</v>
      </c>
      <c r="D4077" t="s">
        <v>784</v>
      </c>
      <c r="E4077" t="s">
        <v>644</v>
      </c>
      <c r="F4077" t="s">
        <v>8312</v>
      </c>
      <c r="G4077" t="str">
        <f>"00863367"</f>
        <v>00863367</v>
      </c>
      <c r="H4077">
        <v>0</v>
      </c>
      <c r="I4077">
        <v>0</v>
      </c>
      <c r="L4077">
        <v>4</v>
      </c>
      <c r="M4077">
        <v>4</v>
      </c>
      <c r="N4077">
        <v>0</v>
      </c>
      <c r="O4077">
        <v>0</v>
      </c>
      <c r="P4077">
        <v>4</v>
      </c>
      <c r="Q4077">
        <v>0</v>
      </c>
      <c r="R4077">
        <v>0</v>
      </c>
      <c r="S4077">
        <v>0</v>
      </c>
      <c r="T4077">
        <v>0</v>
      </c>
      <c r="U4077">
        <v>0</v>
      </c>
      <c r="V4077">
        <v>0</v>
      </c>
      <c r="W4077">
        <v>0</v>
      </c>
      <c r="X4077">
        <v>0</v>
      </c>
      <c r="Y4077">
        <v>0</v>
      </c>
      <c r="Z4077">
        <v>0</v>
      </c>
      <c r="AA4077">
        <v>0</v>
      </c>
      <c r="AC4077">
        <v>4</v>
      </c>
    </row>
    <row r="4078" spans="1:29">
      <c r="A4078">
        <v>4071</v>
      </c>
      <c r="B4078">
        <v>2990</v>
      </c>
      <c r="C4078" t="s">
        <v>7149</v>
      </c>
      <c r="D4078" t="s">
        <v>608</v>
      </c>
      <c r="E4078" t="s">
        <v>66</v>
      </c>
      <c r="F4078" t="s">
        <v>8308</v>
      </c>
      <c r="G4078" t="str">
        <f>"00861192"</f>
        <v>00861192</v>
      </c>
      <c r="H4078">
        <v>0</v>
      </c>
      <c r="I4078">
        <v>0</v>
      </c>
      <c r="M4078">
        <v>0</v>
      </c>
      <c r="N4078">
        <v>4</v>
      </c>
      <c r="O4078">
        <v>0</v>
      </c>
      <c r="P4078">
        <v>4</v>
      </c>
      <c r="Q4078">
        <v>0</v>
      </c>
      <c r="R4078">
        <v>0</v>
      </c>
      <c r="S4078">
        <v>0</v>
      </c>
      <c r="T4078">
        <v>0</v>
      </c>
      <c r="U4078">
        <v>0</v>
      </c>
      <c r="V4078">
        <v>0</v>
      </c>
      <c r="W4078">
        <v>0</v>
      </c>
      <c r="X4078">
        <v>0</v>
      </c>
      <c r="Y4078">
        <v>0</v>
      </c>
      <c r="Z4078">
        <v>0</v>
      </c>
      <c r="AA4078">
        <v>0</v>
      </c>
      <c r="AC4078">
        <v>4</v>
      </c>
    </row>
    <row r="4079" spans="1:29">
      <c r="A4079">
        <v>4072</v>
      </c>
      <c r="B4079">
        <v>3975</v>
      </c>
      <c r="C4079" t="s">
        <v>8291</v>
      </c>
      <c r="D4079" t="s">
        <v>179</v>
      </c>
      <c r="E4079" t="s">
        <v>18</v>
      </c>
      <c r="F4079" t="s">
        <v>8292</v>
      </c>
      <c r="G4079" t="str">
        <f>"00861160"</f>
        <v>00861160</v>
      </c>
      <c r="H4079">
        <v>0</v>
      </c>
      <c r="I4079">
        <v>0</v>
      </c>
      <c r="M4079">
        <v>0</v>
      </c>
      <c r="N4079">
        <v>4</v>
      </c>
      <c r="O4079">
        <v>0</v>
      </c>
      <c r="P4079">
        <v>4</v>
      </c>
      <c r="Q4079">
        <v>0</v>
      </c>
      <c r="R4079">
        <v>0</v>
      </c>
      <c r="S4079">
        <v>0</v>
      </c>
      <c r="T4079">
        <v>0</v>
      </c>
      <c r="U4079">
        <v>0</v>
      </c>
      <c r="V4079">
        <v>0</v>
      </c>
      <c r="W4079">
        <v>0</v>
      </c>
      <c r="X4079">
        <v>0</v>
      </c>
      <c r="Y4079">
        <v>0</v>
      </c>
      <c r="Z4079">
        <v>0</v>
      </c>
      <c r="AA4079">
        <v>0</v>
      </c>
      <c r="AC4079">
        <v>4</v>
      </c>
    </row>
    <row r="4080" spans="1:29">
      <c r="A4080">
        <v>4073</v>
      </c>
      <c r="B4080">
        <v>1336</v>
      </c>
      <c r="C4080" t="s">
        <v>8279</v>
      </c>
      <c r="D4080" t="s">
        <v>1888</v>
      </c>
      <c r="E4080" t="s">
        <v>379</v>
      </c>
      <c r="F4080" t="s">
        <v>8280</v>
      </c>
      <c r="G4080" t="str">
        <f>"00582112"</f>
        <v>00582112</v>
      </c>
      <c r="H4080">
        <v>0</v>
      </c>
      <c r="I4080">
        <v>0</v>
      </c>
      <c r="M4080">
        <v>0</v>
      </c>
      <c r="N4080">
        <v>4</v>
      </c>
      <c r="O4080">
        <v>0</v>
      </c>
      <c r="P4080">
        <v>4</v>
      </c>
      <c r="Q4080">
        <v>0</v>
      </c>
      <c r="R4080">
        <v>0</v>
      </c>
      <c r="S4080">
        <v>0</v>
      </c>
      <c r="T4080">
        <v>0</v>
      </c>
      <c r="U4080">
        <v>0</v>
      </c>
      <c r="V4080">
        <v>0</v>
      </c>
      <c r="W4080">
        <v>0</v>
      </c>
      <c r="X4080">
        <v>0</v>
      </c>
      <c r="Y4080">
        <v>0</v>
      </c>
      <c r="Z4080">
        <v>0</v>
      </c>
      <c r="AA4080">
        <v>0</v>
      </c>
      <c r="AC4080">
        <v>4</v>
      </c>
    </row>
    <row r="4081" spans="1:29">
      <c r="A4081">
        <v>4074</v>
      </c>
      <c r="B4081">
        <v>2827</v>
      </c>
      <c r="C4081" t="s">
        <v>8281</v>
      </c>
      <c r="D4081" t="s">
        <v>8282</v>
      </c>
      <c r="E4081" t="s">
        <v>252</v>
      </c>
      <c r="F4081" t="s">
        <v>8283</v>
      </c>
      <c r="G4081" t="str">
        <f>"00743028"</f>
        <v>00743028</v>
      </c>
      <c r="H4081">
        <v>0</v>
      </c>
      <c r="I4081">
        <v>0</v>
      </c>
      <c r="L4081">
        <v>4</v>
      </c>
      <c r="M4081">
        <v>4</v>
      </c>
      <c r="N4081">
        <v>0</v>
      </c>
      <c r="O4081">
        <v>0</v>
      </c>
      <c r="P4081">
        <v>4</v>
      </c>
      <c r="Q4081">
        <v>0</v>
      </c>
      <c r="R4081">
        <v>0</v>
      </c>
      <c r="S4081">
        <v>0</v>
      </c>
      <c r="T4081">
        <v>0</v>
      </c>
      <c r="U4081">
        <v>0</v>
      </c>
      <c r="V4081">
        <v>0</v>
      </c>
      <c r="W4081">
        <v>0</v>
      </c>
      <c r="X4081">
        <v>0</v>
      </c>
      <c r="Y4081">
        <v>0</v>
      </c>
      <c r="Z4081">
        <v>0</v>
      </c>
      <c r="AA4081">
        <v>0</v>
      </c>
      <c r="AC4081">
        <v>4</v>
      </c>
    </row>
    <row r="4082" spans="1:29">
      <c r="A4082">
        <v>4075</v>
      </c>
      <c r="B4082">
        <v>3461</v>
      </c>
      <c r="C4082" t="s">
        <v>8286</v>
      </c>
      <c r="D4082" t="s">
        <v>397</v>
      </c>
      <c r="E4082" t="s">
        <v>647</v>
      </c>
      <c r="F4082" t="s">
        <v>8287</v>
      </c>
      <c r="G4082" t="str">
        <f>"00655077"</f>
        <v>00655077</v>
      </c>
      <c r="H4082">
        <v>0</v>
      </c>
      <c r="I4082">
        <v>0</v>
      </c>
      <c r="M4082">
        <v>0</v>
      </c>
      <c r="N4082">
        <v>4</v>
      </c>
      <c r="O4082">
        <v>0</v>
      </c>
      <c r="P4082">
        <v>4</v>
      </c>
      <c r="Q4082">
        <v>0</v>
      </c>
      <c r="R4082">
        <v>0</v>
      </c>
      <c r="S4082">
        <v>0</v>
      </c>
      <c r="T4082">
        <v>0</v>
      </c>
      <c r="U4082">
        <v>0</v>
      </c>
      <c r="V4082">
        <v>0</v>
      </c>
      <c r="W4082">
        <v>0</v>
      </c>
      <c r="X4082">
        <v>0</v>
      </c>
      <c r="Y4082">
        <v>0</v>
      </c>
      <c r="Z4082">
        <v>0</v>
      </c>
      <c r="AA4082">
        <v>0</v>
      </c>
      <c r="AC4082">
        <v>4</v>
      </c>
    </row>
    <row r="4083" spans="1:29">
      <c r="A4083">
        <v>4076</v>
      </c>
      <c r="B4083">
        <v>618</v>
      </c>
      <c r="C4083" t="s">
        <v>8298</v>
      </c>
      <c r="D4083" t="s">
        <v>343</v>
      </c>
      <c r="E4083" t="s">
        <v>18</v>
      </c>
      <c r="F4083" t="s">
        <v>8299</v>
      </c>
      <c r="G4083" t="str">
        <f>"00757535"</f>
        <v>00757535</v>
      </c>
      <c r="H4083">
        <v>0</v>
      </c>
      <c r="I4083">
        <v>0</v>
      </c>
      <c r="M4083">
        <v>0</v>
      </c>
      <c r="N4083">
        <v>4</v>
      </c>
      <c r="O4083">
        <v>0</v>
      </c>
      <c r="P4083">
        <v>4</v>
      </c>
      <c r="Q4083">
        <v>0</v>
      </c>
      <c r="R4083">
        <v>0</v>
      </c>
      <c r="S4083">
        <v>0</v>
      </c>
      <c r="T4083">
        <v>0</v>
      </c>
      <c r="U4083">
        <v>0</v>
      </c>
      <c r="V4083">
        <v>0</v>
      </c>
      <c r="W4083">
        <v>0</v>
      </c>
      <c r="X4083">
        <v>0</v>
      </c>
      <c r="Y4083">
        <v>0</v>
      </c>
      <c r="Z4083">
        <v>0</v>
      </c>
      <c r="AA4083">
        <v>0</v>
      </c>
      <c r="AC4083">
        <v>4</v>
      </c>
    </row>
    <row r="4084" spans="1:29">
      <c r="A4084">
        <v>4077</v>
      </c>
      <c r="B4084">
        <v>4228</v>
      </c>
      <c r="C4084" t="s">
        <v>8302</v>
      </c>
      <c r="D4084" t="s">
        <v>5268</v>
      </c>
      <c r="E4084" t="s">
        <v>36</v>
      </c>
      <c r="F4084" t="s">
        <v>8303</v>
      </c>
      <c r="G4084" t="str">
        <f>"00861797"</f>
        <v>00861797</v>
      </c>
      <c r="H4084">
        <v>0</v>
      </c>
      <c r="I4084">
        <v>0</v>
      </c>
      <c r="L4084">
        <v>4</v>
      </c>
      <c r="M4084">
        <v>4</v>
      </c>
      <c r="N4084">
        <v>0</v>
      </c>
      <c r="O4084">
        <v>0</v>
      </c>
      <c r="P4084">
        <v>4</v>
      </c>
      <c r="Q4084">
        <v>0</v>
      </c>
      <c r="R4084">
        <v>0</v>
      </c>
      <c r="S4084">
        <v>0</v>
      </c>
      <c r="T4084">
        <v>0</v>
      </c>
      <c r="U4084">
        <v>0</v>
      </c>
      <c r="V4084">
        <v>0</v>
      </c>
      <c r="W4084">
        <v>0</v>
      </c>
      <c r="X4084">
        <v>0</v>
      </c>
      <c r="Y4084">
        <v>0</v>
      </c>
      <c r="Z4084">
        <v>0</v>
      </c>
      <c r="AA4084">
        <v>0</v>
      </c>
      <c r="AC4084">
        <v>4</v>
      </c>
    </row>
    <row r="4085" spans="1:29">
      <c r="A4085">
        <v>4078</v>
      </c>
      <c r="B4085">
        <v>464</v>
      </c>
      <c r="C4085" t="s">
        <v>8288</v>
      </c>
      <c r="D4085" t="s">
        <v>52</v>
      </c>
      <c r="E4085" t="s">
        <v>564</v>
      </c>
      <c r="F4085" t="s">
        <v>8289</v>
      </c>
      <c r="G4085" t="str">
        <f>"00856551"</f>
        <v>00856551</v>
      </c>
      <c r="H4085">
        <v>0</v>
      </c>
      <c r="I4085">
        <v>0</v>
      </c>
      <c r="M4085">
        <v>0</v>
      </c>
      <c r="N4085">
        <v>4</v>
      </c>
      <c r="O4085">
        <v>0</v>
      </c>
      <c r="P4085">
        <v>4</v>
      </c>
      <c r="Q4085">
        <v>0</v>
      </c>
      <c r="R4085">
        <v>0</v>
      </c>
      <c r="S4085">
        <v>0</v>
      </c>
      <c r="T4085">
        <v>0</v>
      </c>
      <c r="U4085">
        <v>0</v>
      </c>
      <c r="V4085">
        <v>0</v>
      </c>
      <c r="W4085">
        <v>0</v>
      </c>
      <c r="X4085">
        <v>0</v>
      </c>
      <c r="Y4085">
        <v>0</v>
      </c>
      <c r="Z4085">
        <v>0</v>
      </c>
      <c r="AA4085">
        <v>0</v>
      </c>
      <c r="AC4085">
        <v>4</v>
      </c>
    </row>
    <row r="4086" spans="1:29">
      <c r="A4086">
        <v>4079</v>
      </c>
      <c r="B4086">
        <v>66</v>
      </c>
      <c r="C4086" t="s">
        <v>8293</v>
      </c>
      <c r="D4086" t="s">
        <v>1660</v>
      </c>
      <c r="E4086" t="s">
        <v>237</v>
      </c>
      <c r="F4086" t="s">
        <v>8294</v>
      </c>
      <c r="G4086" t="str">
        <f>"00854554"</f>
        <v>00854554</v>
      </c>
      <c r="H4086">
        <v>0</v>
      </c>
      <c r="I4086">
        <v>0</v>
      </c>
      <c r="M4086">
        <v>0</v>
      </c>
      <c r="N4086">
        <v>4</v>
      </c>
      <c r="O4086">
        <v>0</v>
      </c>
      <c r="P4086">
        <v>4</v>
      </c>
      <c r="Q4086">
        <v>0</v>
      </c>
      <c r="R4086">
        <v>0</v>
      </c>
      <c r="S4086">
        <v>0</v>
      </c>
      <c r="T4086">
        <v>0</v>
      </c>
      <c r="U4086">
        <v>0</v>
      </c>
      <c r="V4086">
        <v>0</v>
      </c>
      <c r="W4086">
        <v>0</v>
      </c>
      <c r="X4086">
        <v>0</v>
      </c>
      <c r="Y4086">
        <v>0</v>
      </c>
      <c r="Z4086">
        <v>0</v>
      </c>
      <c r="AA4086">
        <v>0</v>
      </c>
      <c r="AC4086">
        <v>4</v>
      </c>
    </row>
    <row r="4087" spans="1:29">
      <c r="A4087">
        <v>4080</v>
      </c>
      <c r="B4087">
        <v>2047</v>
      </c>
      <c r="C4087" t="s">
        <v>6263</v>
      </c>
      <c r="D4087" t="s">
        <v>27</v>
      </c>
      <c r="E4087" t="s">
        <v>28</v>
      </c>
      <c r="F4087" t="s">
        <v>8275</v>
      </c>
      <c r="G4087" t="str">
        <f>"201402003055"</f>
        <v>201402003055</v>
      </c>
      <c r="H4087">
        <v>0</v>
      </c>
      <c r="I4087">
        <v>0</v>
      </c>
      <c r="M4087">
        <v>0</v>
      </c>
      <c r="N4087">
        <v>4</v>
      </c>
      <c r="O4087">
        <v>0</v>
      </c>
      <c r="P4087">
        <v>4</v>
      </c>
      <c r="Q4087">
        <v>0</v>
      </c>
      <c r="R4087">
        <v>0</v>
      </c>
      <c r="S4087">
        <v>0</v>
      </c>
      <c r="T4087">
        <v>0</v>
      </c>
      <c r="U4087">
        <v>0</v>
      </c>
      <c r="V4087">
        <v>0</v>
      </c>
      <c r="W4087">
        <v>0</v>
      </c>
      <c r="X4087">
        <v>0</v>
      </c>
      <c r="Y4087">
        <v>0</v>
      </c>
      <c r="Z4087">
        <v>0</v>
      </c>
      <c r="AA4087">
        <v>0</v>
      </c>
      <c r="AC4087">
        <v>4</v>
      </c>
    </row>
    <row r="4088" spans="1:29">
      <c r="A4088">
        <v>4081</v>
      </c>
      <c r="B4088">
        <v>2854</v>
      </c>
      <c r="C4088" t="s">
        <v>8310</v>
      </c>
      <c r="D4088" t="s">
        <v>98</v>
      </c>
      <c r="E4088" t="s">
        <v>18</v>
      </c>
      <c r="F4088" t="s">
        <v>8311</v>
      </c>
      <c r="G4088" t="str">
        <f>"00864323"</f>
        <v>00864323</v>
      </c>
      <c r="H4088">
        <v>0</v>
      </c>
      <c r="I4088">
        <v>0</v>
      </c>
      <c r="L4088">
        <v>4</v>
      </c>
      <c r="M4088">
        <v>4</v>
      </c>
      <c r="N4088">
        <v>0</v>
      </c>
      <c r="O4088">
        <v>0</v>
      </c>
      <c r="P4088">
        <v>4</v>
      </c>
      <c r="Q4088">
        <v>0</v>
      </c>
      <c r="R4088">
        <v>0</v>
      </c>
      <c r="S4088">
        <v>0</v>
      </c>
      <c r="T4088">
        <v>0</v>
      </c>
      <c r="U4088">
        <v>0</v>
      </c>
      <c r="V4088">
        <v>0</v>
      </c>
      <c r="W4088">
        <v>0</v>
      </c>
      <c r="X4088">
        <v>0</v>
      </c>
      <c r="Y4088">
        <v>0</v>
      </c>
      <c r="Z4088">
        <v>0</v>
      </c>
      <c r="AA4088">
        <v>0</v>
      </c>
      <c r="AC4088">
        <v>4</v>
      </c>
    </row>
    <row r="4089" spans="1:29">
      <c r="A4089">
        <v>4082</v>
      </c>
      <c r="B4089">
        <v>4021</v>
      </c>
      <c r="C4089" t="s">
        <v>8284</v>
      </c>
      <c r="D4089" t="s">
        <v>2765</v>
      </c>
      <c r="E4089" t="s">
        <v>18</v>
      </c>
      <c r="F4089" t="s">
        <v>8285</v>
      </c>
      <c r="G4089" t="str">
        <f>"00812518"</f>
        <v>00812518</v>
      </c>
      <c r="H4089">
        <v>0</v>
      </c>
      <c r="I4089">
        <v>0</v>
      </c>
      <c r="M4089">
        <v>0</v>
      </c>
      <c r="N4089">
        <v>4</v>
      </c>
      <c r="O4089">
        <v>0</v>
      </c>
      <c r="P4089">
        <v>4</v>
      </c>
      <c r="Q4089">
        <v>0</v>
      </c>
      <c r="R4089">
        <v>0</v>
      </c>
      <c r="S4089">
        <v>0</v>
      </c>
      <c r="T4089">
        <v>0</v>
      </c>
      <c r="U4089">
        <v>0</v>
      </c>
      <c r="V4089">
        <v>0</v>
      </c>
      <c r="W4089">
        <v>0</v>
      </c>
      <c r="X4089">
        <v>0</v>
      </c>
      <c r="Y4089">
        <v>0</v>
      </c>
      <c r="Z4089">
        <v>0</v>
      </c>
      <c r="AA4089">
        <v>0</v>
      </c>
      <c r="AC4089">
        <v>4</v>
      </c>
    </row>
    <row r="4090" spans="1:29">
      <c r="A4090">
        <v>4083</v>
      </c>
      <c r="B4090">
        <v>2401</v>
      </c>
      <c r="C4090" t="s">
        <v>8276</v>
      </c>
      <c r="D4090" t="s">
        <v>394</v>
      </c>
      <c r="E4090" t="s">
        <v>18</v>
      </c>
      <c r="F4090" t="s">
        <v>8277</v>
      </c>
      <c r="G4090" t="str">
        <f>"00504801"</f>
        <v>00504801</v>
      </c>
      <c r="H4090">
        <v>0</v>
      </c>
      <c r="I4090">
        <v>0</v>
      </c>
      <c r="M4090">
        <v>0</v>
      </c>
      <c r="N4090">
        <v>4</v>
      </c>
      <c r="O4090">
        <v>0</v>
      </c>
      <c r="P4090">
        <v>4</v>
      </c>
      <c r="Q4090">
        <v>0</v>
      </c>
      <c r="R4090">
        <v>0</v>
      </c>
      <c r="S4090">
        <v>0</v>
      </c>
      <c r="T4090">
        <v>0</v>
      </c>
      <c r="U4090">
        <v>0</v>
      </c>
      <c r="V4090">
        <v>0</v>
      </c>
      <c r="W4090">
        <v>0</v>
      </c>
      <c r="X4090">
        <v>0</v>
      </c>
      <c r="Y4090">
        <v>0</v>
      </c>
      <c r="Z4090">
        <v>0</v>
      </c>
      <c r="AA4090">
        <v>0</v>
      </c>
      <c r="AC4090">
        <v>4</v>
      </c>
    </row>
    <row r="4091" spans="1:29">
      <c r="A4091">
        <v>4084</v>
      </c>
      <c r="B4091">
        <v>3885</v>
      </c>
      <c r="C4091" t="s">
        <v>8313</v>
      </c>
      <c r="D4091" t="s">
        <v>3233</v>
      </c>
      <c r="E4091" t="s">
        <v>115</v>
      </c>
      <c r="F4091" t="s">
        <v>8314</v>
      </c>
      <c r="G4091" t="str">
        <f>"00863291"</f>
        <v>00863291</v>
      </c>
      <c r="H4091">
        <v>0</v>
      </c>
      <c r="I4091">
        <v>0</v>
      </c>
      <c r="L4091">
        <v>4</v>
      </c>
      <c r="M4091">
        <v>4</v>
      </c>
      <c r="N4091">
        <v>0</v>
      </c>
      <c r="O4091">
        <v>0</v>
      </c>
      <c r="P4091">
        <v>4</v>
      </c>
      <c r="Q4091">
        <v>0</v>
      </c>
      <c r="R4091">
        <v>0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  <c r="Y4091">
        <v>0</v>
      </c>
      <c r="Z4091">
        <v>0</v>
      </c>
      <c r="AA4091">
        <v>0</v>
      </c>
      <c r="AC4091">
        <v>4</v>
      </c>
    </row>
    <row r="4092" spans="1:29">
      <c r="A4092">
        <v>4085</v>
      </c>
      <c r="B4092">
        <v>2670</v>
      </c>
      <c r="C4092" t="s">
        <v>8295</v>
      </c>
      <c r="D4092" t="s">
        <v>811</v>
      </c>
      <c r="E4092" t="s">
        <v>50</v>
      </c>
      <c r="F4092" t="s">
        <v>8296</v>
      </c>
      <c r="G4092" t="str">
        <f>"00862264"</f>
        <v>00862264</v>
      </c>
      <c r="H4092">
        <v>0</v>
      </c>
      <c r="I4092">
        <v>0</v>
      </c>
      <c r="L4092">
        <v>4</v>
      </c>
      <c r="M4092">
        <v>4</v>
      </c>
      <c r="N4092">
        <v>0</v>
      </c>
      <c r="O4092">
        <v>0</v>
      </c>
      <c r="P4092">
        <v>4</v>
      </c>
      <c r="Q4092">
        <v>0</v>
      </c>
      <c r="R4092">
        <v>0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0</v>
      </c>
      <c r="Y4092">
        <v>0</v>
      </c>
      <c r="Z4092">
        <v>0</v>
      </c>
      <c r="AA4092">
        <v>0</v>
      </c>
      <c r="AC4092">
        <v>4</v>
      </c>
    </row>
    <row r="4093" spans="1:29">
      <c r="A4093">
        <v>4086</v>
      </c>
      <c r="B4093">
        <v>2551</v>
      </c>
      <c r="C4093" t="s">
        <v>3390</v>
      </c>
      <c r="D4093" t="s">
        <v>775</v>
      </c>
      <c r="E4093" t="s">
        <v>36</v>
      </c>
      <c r="F4093" t="s">
        <v>8278</v>
      </c>
      <c r="G4093" t="str">
        <f>"00163595"</f>
        <v>00163595</v>
      </c>
      <c r="H4093">
        <v>0</v>
      </c>
      <c r="I4093">
        <v>0</v>
      </c>
      <c r="M4093">
        <v>0</v>
      </c>
      <c r="N4093">
        <v>4</v>
      </c>
      <c r="O4093">
        <v>0</v>
      </c>
      <c r="P4093">
        <v>4</v>
      </c>
      <c r="Q4093">
        <v>0</v>
      </c>
      <c r="R4093">
        <v>0</v>
      </c>
      <c r="S4093">
        <v>0</v>
      </c>
      <c r="T4093">
        <v>0</v>
      </c>
      <c r="U4093">
        <v>0</v>
      </c>
      <c r="V4093">
        <v>0</v>
      </c>
      <c r="W4093">
        <v>0</v>
      </c>
      <c r="X4093">
        <v>0</v>
      </c>
      <c r="Y4093">
        <v>0</v>
      </c>
      <c r="Z4093">
        <v>0</v>
      </c>
      <c r="AA4093">
        <v>0</v>
      </c>
      <c r="AC4093">
        <v>4</v>
      </c>
    </row>
    <row r="4094" spans="1:29">
      <c r="A4094">
        <v>4087</v>
      </c>
      <c r="B4094">
        <v>2164</v>
      </c>
      <c r="C4094" t="s">
        <v>8300</v>
      </c>
      <c r="D4094" t="s">
        <v>39</v>
      </c>
      <c r="E4094" t="s">
        <v>233</v>
      </c>
      <c r="F4094" t="s">
        <v>8301</v>
      </c>
      <c r="G4094" t="str">
        <f>"00860276"</f>
        <v>00860276</v>
      </c>
      <c r="H4094">
        <v>0</v>
      </c>
      <c r="I4094">
        <v>0</v>
      </c>
      <c r="M4094">
        <v>0</v>
      </c>
      <c r="N4094">
        <v>4</v>
      </c>
      <c r="O4094">
        <v>0</v>
      </c>
      <c r="P4094">
        <v>4</v>
      </c>
      <c r="Q4094">
        <v>0</v>
      </c>
      <c r="R4094">
        <v>0</v>
      </c>
      <c r="S4094">
        <v>0</v>
      </c>
      <c r="T4094">
        <v>0</v>
      </c>
      <c r="U4094">
        <v>0</v>
      </c>
      <c r="V4094">
        <v>0</v>
      </c>
      <c r="W4094">
        <v>0</v>
      </c>
      <c r="X4094">
        <v>0</v>
      </c>
      <c r="Y4094">
        <v>0</v>
      </c>
      <c r="Z4094">
        <v>0</v>
      </c>
      <c r="AA4094">
        <v>0</v>
      </c>
      <c r="AC4094">
        <v>4</v>
      </c>
    </row>
    <row r="4095" spans="1:29">
      <c r="A4095">
        <v>4088</v>
      </c>
      <c r="B4095">
        <v>3149</v>
      </c>
      <c r="C4095" t="s">
        <v>1032</v>
      </c>
      <c r="D4095" t="s">
        <v>159</v>
      </c>
      <c r="E4095" t="s">
        <v>12</v>
      </c>
      <c r="F4095" t="s">
        <v>8297</v>
      </c>
      <c r="G4095" t="str">
        <f>"00865036"</f>
        <v>00865036</v>
      </c>
      <c r="H4095">
        <v>0</v>
      </c>
      <c r="I4095">
        <v>0</v>
      </c>
      <c r="M4095">
        <v>0</v>
      </c>
      <c r="N4095">
        <v>4</v>
      </c>
      <c r="O4095">
        <v>0</v>
      </c>
      <c r="P4095">
        <v>4</v>
      </c>
      <c r="Q4095">
        <v>0</v>
      </c>
      <c r="R4095">
        <v>0</v>
      </c>
      <c r="S4095">
        <v>0</v>
      </c>
      <c r="T4095">
        <v>0</v>
      </c>
      <c r="U4095">
        <v>0</v>
      </c>
      <c r="V4095">
        <v>0</v>
      </c>
      <c r="W4095">
        <v>0</v>
      </c>
      <c r="X4095">
        <v>0</v>
      </c>
      <c r="Y4095">
        <v>0</v>
      </c>
      <c r="Z4095">
        <v>0</v>
      </c>
      <c r="AA4095">
        <v>0</v>
      </c>
      <c r="AC4095">
        <v>4</v>
      </c>
    </row>
    <row r="4096" spans="1:29">
      <c r="A4096">
        <v>4089</v>
      </c>
      <c r="B4096">
        <v>3252</v>
      </c>
      <c r="C4096" t="s">
        <v>8306</v>
      </c>
      <c r="D4096" t="s">
        <v>167</v>
      </c>
      <c r="E4096" t="s">
        <v>79</v>
      </c>
      <c r="F4096" t="s">
        <v>8307</v>
      </c>
      <c r="G4096" t="str">
        <f>"00865374"</f>
        <v>00865374</v>
      </c>
      <c r="H4096">
        <v>0</v>
      </c>
      <c r="I4096">
        <v>0</v>
      </c>
      <c r="L4096">
        <v>4</v>
      </c>
      <c r="M4096">
        <v>4</v>
      </c>
      <c r="N4096">
        <v>0</v>
      </c>
      <c r="O4096">
        <v>0</v>
      </c>
      <c r="P4096">
        <v>4</v>
      </c>
      <c r="Q4096">
        <v>0</v>
      </c>
      <c r="R4096">
        <v>0</v>
      </c>
      <c r="S4096">
        <v>0</v>
      </c>
      <c r="T4096">
        <v>0</v>
      </c>
      <c r="U4096">
        <v>0</v>
      </c>
      <c r="V4096">
        <v>0</v>
      </c>
      <c r="W4096">
        <v>0</v>
      </c>
      <c r="X4096">
        <v>0</v>
      </c>
      <c r="Y4096">
        <v>0</v>
      </c>
      <c r="Z4096">
        <v>0</v>
      </c>
      <c r="AA4096">
        <v>0</v>
      </c>
      <c r="AC4096">
        <v>4</v>
      </c>
    </row>
    <row r="4097" spans="1:29">
      <c r="A4097">
        <v>4090</v>
      </c>
      <c r="B4097">
        <v>4553</v>
      </c>
      <c r="C4097" t="s">
        <v>8315</v>
      </c>
      <c r="D4097" t="s">
        <v>167</v>
      </c>
      <c r="E4097" t="s">
        <v>134</v>
      </c>
      <c r="F4097" t="s">
        <v>8316</v>
      </c>
      <c r="G4097" t="str">
        <f>"00539400"</f>
        <v>00539400</v>
      </c>
      <c r="H4097">
        <v>0</v>
      </c>
      <c r="I4097">
        <v>0</v>
      </c>
      <c r="L4097">
        <v>4</v>
      </c>
      <c r="M4097">
        <v>4</v>
      </c>
      <c r="N4097">
        <v>0</v>
      </c>
      <c r="O4097">
        <v>0</v>
      </c>
      <c r="P4097">
        <v>4</v>
      </c>
      <c r="Q4097">
        <v>0</v>
      </c>
      <c r="R4097">
        <v>0</v>
      </c>
      <c r="S4097">
        <v>0</v>
      </c>
      <c r="T4097">
        <v>0</v>
      </c>
      <c r="U4097">
        <v>0</v>
      </c>
      <c r="V4097">
        <v>0</v>
      </c>
      <c r="W4097">
        <v>0</v>
      </c>
      <c r="X4097">
        <v>0</v>
      </c>
      <c r="Y4097">
        <v>0</v>
      </c>
      <c r="Z4097">
        <v>0</v>
      </c>
      <c r="AA4097">
        <v>0</v>
      </c>
      <c r="AC4097">
        <v>4</v>
      </c>
    </row>
    <row r="4098" spans="1:29">
      <c r="A4098">
        <v>4091</v>
      </c>
      <c r="B4098">
        <v>4786</v>
      </c>
      <c r="C4098" t="s">
        <v>1030</v>
      </c>
      <c r="D4098" t="s">
        <v>27</v>
      </c>
      <c r="E4098" t="s">
        <v>66</v>
      </c>
      <c r="F4098" t="s">
        <v>8326</v>
      </c>
      <c r="G4098" t="str">
        <f>"00865263"</f>
        <v>00865263</v>
      </c>
      <c r="H4098">
        <v>0</v>
      </c>
      <c r="I4098">
        <v>0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0</v>
      </c>
      <c r="Y4098">
        <v>0</v>
      </c>
      <c r="Z4098">
        <v>3</v>
      </c>
      <c r="AA4098">
        <v>0</v>
      </c>
      <c r="AC4098">
        <v>3</v>
      </c>
    </row>
    <row r="4099" spans="1:29">
      <c r="A4099">
        <v>4092</v>
      </c>
      <c r="B4099">
        <v>1973</v>
      </c>
      <c r="C4099" t="s">
        <v>8317</v>
      </c>
      <c r="D4099" t="s">
        <v>159</v>
      </c>
      <c r="E4099" t="s">
        <v>50</v>
      </c>
      <c r="F4099" t="s">
        <v>8318</v>
      </c>
      <c r="G4099" t="str">
        <f>"00539760"</f>
        <v>00539760</v>
      </c>
      <c r="H4099">
        <v>0</v>
      </c>
      <c r="I4099">
        <v>0</v>
      </c>
      <c r="M4099">
        <v>0</v>
      </c>
      <c r="N4099">
        <v>0</v>
      </c>
      <c r="O4099">
        <v>0</v>
      </c>
      <c r="P4099">
        <v>0</v>
      </c>
      <c r="Q4099">
        <v>0</v>
      </c>
      <c r="R4099">
        <v>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0</v>
      </c>
      <c r="Y4099">
        <v>0</v>
      </c>
      <c r="Z4099">
        <v>3</v>
      </c>
      <c r="AA4099">
        <v>0</v>
      </c>
      <c r="AC4099">
        <v>3</v>
      </c>
    </row>
    <row r="4100" spans="1:29">
      <c r="A4100">
        <v>4093</v>
      </c>
      <c r="B4100">
        <v>3902</v>
      </c>
      <c r="C4100" t="s">
        <v>8324</v>
      </c>
      <c r="D4100" t="s">
        <v>164</v>
      </c>
      <c r="E4100" t="s">
        <v>211</v>
      </c>
      <c r="F4100" t="s">
        <v>8325</v>
      </c>
      <c r="G4100" t="str">
        <f>"00863187"</f>
        <v>00863187</v>
      </c>
      <c r="H4100">
        <v>0</v>
      </c>
      <c r="I4100">
        <v>0</v>
      </c>
      <c r="M4100">
        <v>0</v>
      </c>
      <c r="N4100">
        <v>0</v>
      </c>
      <c r="O4100">
        <v>0</v>
      </c>
      <c r="P4100">
        <v>0</v>
      </c>
      <c r="Q4100">
        <v>0</v>
      </c>
      <c r="R4100">
        <v>0</v>
      </c>
      <c r="S4100">
        <v>0</v>
      </c>
      <c r="T4100">
        <v>0</v>
      </c>
      <c r="U4100">
        <v>0</v>
      </c>
      <c r="V4100">
        <v>0</v>
      </c>
      <c r="W4100">
        <v>0</v>
      </c>
      <c r="X4100">
        <v>0</v>
      </c>
      <c r="Y4100">
        <v>0</v>
      </c>
      <c r="Z4100">
        <v>3</v>
      </c>
      <c r="AA4100">
        <v>0</v>
      </c>
      <c r="AC4100">
        <v>3</v>
      </c>
    </row>
    <row r="4101" spans="1:29">
      <c r="A4101">
        <v>4094</v>
      </c>
      <c r="B4101">
        <v>2250</v>
      </c>
      <c r="C4101" t="s">
        <v>8319</v>
      </c>
      <c r="D4101" t="s">
        <v>164</v>
      </c>
      <c r="E4101" t="s">
        <v>8320</v>
      </c>
      <c r="F4101" t="s">
        <v>8321</v>
      </c>
      <c r="G4101" t="str">
        <f>"00519299"</f>
        <v>00519299</v>
      </c>
      <c r="H4101">
        <v>0</v>
      </c>
      <c r="I4101">
        <v>0</v>
      </c>
      <c r="M4101">
        <v>0</v>
      </c>
      <c r="N4101">
        <v>0</v>
      </c>
      <c r="O4101">
        <v>0</v>
      </c>
      <c r="P4101">
        <v>0</v>
      </c>
      <c r="Q4101">
        <v>0</v>
      </c>
      <c r="R4101">
        <v>0</v>
      </c>
      <c r="S4101">
        <v>0</v>
      </c>
      <c r="T4101">
        <v>0</v>
      </c>
      <c r="U4101">
        <v>0</v>
      </c>
      <c r="V4101">
        <v>0</v>
      </c>
      <c r="W4101">
        <v>0</v>
      </c>
      <c r="X4101">
        <v>0</v>
      </c>
      <c r="Y4101">
        <v>0</v>
      </c>
      <c r="Z4101">
        <v>3</v>
      </c>
      <c r="AA4101">
        <v>0</v>
      </c>
      <c r="AC4101">
        <v>3</v>
      </c>
    </row>
    <row r="4102" spans="1:29">
      <c r="A4102">
        <v>4095</v>
      </c>
      <c r="B4102">
        <v>4636</v>
      </c>
      <c r="C4102" t="s">
        <v>8327</v>
      </c>
      <c r="D4102" t="s">
        <v>784</v>
      </c>
      <c r="E4102" t="s">
        <v>66</v>
      </c>
      <c r="F4102" t="s">
        <v>8328</v>
      </c>
      <c r="G4102" t="str">
        <f>"00532814"</f>
        <v>00532814</v>
      </c>
      <c r="H4102">
        <v>0</v>
      </c>
      <c r="I4102">
        <v>0</v>
      </c>
      <c r="M4102">
        <v>0</v>
      </c>
      <c r="N4102">
        <v>0</v>
      </c>
      <c r="O4102">
        <v>0</v>
      </c>
      <c r="P4102">
        <v>0</v>
      </c>
      <c r="Q4102">
        <v>0</v>
      </c>
      <c r="R4102">
        <v>0</v>
      </c>
      <c r="S4102">
        <v>0</v>
      </c>
      <c r="T4102">
        <v>0</v>
      </c>
      <c r="U4102">
        <v>0</v>
      </c>
      <c r="V4102">
        <v>0</v>
      </c>
      <c r="W4102">
        <v>0</v>
      </c>
      <c r="X4102">
        <v>0</v>
      </c>
      <c r="Y4102">
        <v>0</v>
      </c>
      <c r="Z4102">
        <v>3</v>
      </c>
      <c r="AA4102">
        <v>0</v>
      </c>
      <c r="AC4102">
        <v>3</v>
      </c>
    </row>
    <row r="4103" spans="1:29">
      <c r="A4103">
        <v>4096</v>
      </c>
      <c r="B4103">
        <v>2838</v>
      </c>
      <c r="C4103" t="s">
        <v>8322</v>
      </c>
      <c r="D4103" t="s">
        <v>1577</v>
      </c>
      <c r="E4103" t="s">
        <v>1263</v>
      </c>
      <c r="F4103" t="s">
        <v>8323</v>
      </c>
      <c r="G4103" t="str">
        <f>"00267311"</f>
        <v>00267311</v>
      </c>
      <c r="H4103">
        <v>0</v>
      </c>
      <c r="I4103">
        <v>0</v>
      </c>
      <c r="M4103">
        <v>0</v>
      </c>
      <c r="N4103">
        <v>0</v>
      </c>
      <c r="O4103">
        <v>0</v>
      </c>
      <c r="P4103">
        <v>0</v>
      </c>
      <c r="Q4103">
        <v>0</v>
      </c>
      <c r="R4103">
        <v>0</v>
      </c>
      <c r="S4103">
        <v>0</v>
      </c>
      <c r="T4103">
        <v>0</v>
      </c>
      <c r="U4103">
        <v>0</v>
      </c>
      <c r="V4103">
        <v>0</v>
      </c>
      <c r="W4103">
        <v>0</v>
      </c>
      <c r="X4103">
        <v>0</v>
      </c>
      <c r="Y4103">
        <v>0</v>
      </c>
      <c r="Z4103">
        <v>3</v>
      </c>
      <c r="AA4103">
        <v>0</v>
      </c>
      <c r="AC4103">
        <v>3</v>
      </c>
    </row>
    <row r="4104" spans="1:29">
      <c r="A4104">
        <v>4097</v>
      </c>
      <c r="B4104">
        <v>1733</v>
      </c>
      <c r="C4104" t="s">
        <v>8329</v>
      </c>
      <c r="D4104" t="s">
        <v>52</v>
      </c>
      <c r="E4104" t="s">
        <v>79</v>
      </c>
      <c r="F4104" t="s">
        <v>8330</v>
      </c>
      <c r="G4104" t="str">
        <f>"00439078"</f>
        <v>00439078</v>
      </c>
      <c r="H4104">
        <v>0</v>
      </c>
      <c r="I4104">
        <v>0</v>
      </c>
      <c r="M4104">
        <v>0</v>
      </c>
      <c r="N4104">
        <v>0</v>
      </c>
      <c r="O4104">
        <v>2</v>
      </c>
      <c r="P4104">
        <v>2</v>
      </c>
      <c r="Q4104">
        <v>0</v>
      </c>
      <c r="R4104">
        <v>0</v>
      </c>
      <c r="S4104">
        <v>0</v>
      </c>
      <c r="T4104">
        <v>0</v>
      </c>
      <c r="U4104">
        <v>0</v>
      </c>
      <c r="V4104">
        <v>0</v>
      </c>
      <c r="W4104">
        <v>0</v>
      </c>
      <c r="X4104">
        <v>0</v>
      </c>
      <c r="Y4104">
        <v>0</v>
      </c>
      <c r="Z4104">
        <v>0</v>
      </c>
      <c r="AA4104">
        <v>0</v>
      </c>
      <c r="AC4104">
        <v>2</v>
      </c>
    </row>
    <row r="4105" spans="1:29">
      <c r="A4105">
        <v>4098</v>
      </c>
      <c r="B4105">
        <v>4959</v>
      </c>
      <c r="C4105" t="s">
        <v>8331</v>
      </c>
      <c r="D4105" t="s">
        <v>8332</v>
      </c>
      <c r="E4105" t="s">
        <v>18</v>
      </c>
      <c r="F4105" t="s">
        <v>8333</v>
      </c>
      <c r="G4105" t="str">
        <f>"00533668"</f>
        <v>00533668</v>
      </c>
      <c r="H4105">
        <v>0</v>
      </c>
      <c r="I4105">
        <v>0</v>
      </c>
      <c r="M4105">
        <v>0</v>
      </c>
      <c r="N4105">
        <v>0</v>
      </c>
      <c r="O4105">
        <v>2</v>
      </c>
      <c r="P4105">
        <v>2</v>
      </c>
      <c r="Q4105">
        <v>0</v>
      </c>
      <c r="R4105">
        <v>0</v>
      </c>
      <c r="S4105">
        <v>0</v>
      </c>
      <c r="T4105">
        <v>0</v>
      </c>
      <c r="U4105">
        <v>0</v>
      </c>
      <c r="V4105">
        <v>0</v>
      </c>
      <c r="W4105">
        <v>0</v>
      </c>
      <c r="X4105">
        <v>0</v>
      </c>
      <c r="Y4105">
        <v>0</v>
      </c>
      <c r="Z4105">
        <v>0</v>
      </c>
      <c r="AA4105">
        <v>0</v>
      </c>
      <c r="AC4105">
        <v>2</v>
      </c>
    </row>
    <row r="4106" spans="1:29">
      <c r="A4106">
        <v>4099</v>
      </c>
      <c r="B4106">
        <v>1754</v>
      </c>
      <c r="C4106" t="s">
        <v>2518</v>
      </c>
      <c r="D4106" t="s">
        <v>811</v>
      </c>
      <c r="E4106" t="s">
        <v>18</v>
      </c>
      <c r="F4106" t="s">
        <v>8336</v>
      </c>
      <c r="G4106" t="str">
        <f>"00864962"</f>
        <v>00864962</v>
      </c>
      <c r="H4106">
        <v>0</v>
      </c>
      <c r="I4106">
        <v>0</v>
      </c>
      <c r="M4106">
        <v>0</v>
      </c>
      <c r="N4106">
        <v>0</v>
      </c>
      <c r="O4106">
        <v>2</v>
      </c>
      <c r="P4106">
        <v>2</v>
      </c>
      <c r="Q4106">
        <v>0</v>
      </c>
      <c r="R4106">
        <v>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0</v>
      </c>
      <c r="Y4106">
        <v>0</v>
      </c>
      <c r="Z4106">
        <v>0</v>
      </c>
      <c r="AA4106">
        <v>0</v>
      </c>
      <c r="AC4106">
        <v>2</v>
      </c>
    </row>
    <row r="4107" spans="1:29">
      <c r="A4107">
        <v>4100</v>
      </c>
      <c r="B4107">
        <v>240</v>
      </c>
      <c r="C4107" t="s">
        <v>8334</v>
      </c>
      <c r="D4107" t="s">
        <v>164</v>
      </c>
      <c r="E4107" t="s">
        <v>15</v>
      </c>
      <c r="F4107" t="s">
        <v>8335</v>
      </c>
      <c r="G4107" t="str">
        <f>"00555276"</f>
        <v>00555276</v>
      </c>
      <c r="H4107">
        <v>0</v>
      </c>
      <c r="I4107">
        <v>0</v>
      </c>
      <c r="M4107">
        <v>0</v>
      </c>
      <c r="N4107">
        <v>0</v>
      </c>
      <c r="O4107">
        <v>2</v>
      </c>
      <c r="P4107">
        <v>2</v>
      </c>
      <c r="Q4107">
        <v>0</v>
      </c>
      <c r="R4107">
        <v>0</v>
      </c>
      <c r="S4107">
        <v>0</v>
      </c>
      <c r="T4107">
        <v>0</v>
      </c>
      <c r="U4107">
        <v>0</v>
      </c>
      <c r="V4107">
        <v>0</v>
      </c>
      <c r="W4107">
        <v>0</v>
      </c>
      <c r="X4107">
        <v>0</v>
      </c>
      <c r="Y4107">
        <v>0</v>
      </c>
      <c r="Z4107">
        <v>0</v>
      </c>
      <c r="AA4107">
        <v>0</v>
      </c>
      <c r="AC4107">
        <v>2</v>
      </c>
    </row>
    <row r="4108" spans="1:29">
      <c r="A4108">
        <v>4101</v>
      </c>
      <c r="B4108">
        <v>4702</v>
      </c>
      <c r="C4108" t="s">
        <v>8337</v>
      </c>
      <c r="D4108" t="s">
        <v>588</v>
      </c>
      <c r="E4108" t="s">
        <v>28</v>
      </c>
      <c r="F4108" t="s">
        <v>8338</v>
      </c>
      <c r="G4108" t="str">
        <f>"00858957"</f>
        <v>00858957</v>
      </c>
      <c r="H4108">
        <v>0</v>
      </c>
      <c r="I4108">
        <v>0</v>
      </c>
      <c r="M4108">
        <v>0</v>
      </c>
      <c r="N4108">
        <v>0</v>
      </c>
      <c r="O4108">
        <v>2</v>
      </c>
      <c r="P4108">
        <v>2</v>
      </c>
      <c r="Q4108">
        <v>0</v>
      </c>
      <c r="R4108">
        <v>0</v>
      </c>
      <c r="S4108">
        <v>0</v>
      </c>
      <c r="T4108">
        <v>0</v>
      </c>
      <c r="U4108">
        <v>0</v>
      </c>
      <c r="V4108">
        <v>0</v>
      </c>
      <c r="W4108">
        <v>0</v>
      </c>
      <c r="X4108">
        <v>0</v>
      </c>
      <c r="Y4108">
        <v>0</v>
      </c>
      <c r="Z4108">
        <v>0</v>
      </c>
      <c r="AA4108">
        <v>0</v>
      </c>
      <c r="AC4108">
        <v>2</v>
      </c>
    </row>
    <row r="4109" spans="1:29">
      <c r="A4109">
        <v>4102</v>
      </c>
      <c r="B4109">
        <v>4923</v>
      </c>
      <c r="C4109" t="s">
        <v>8361</v>
      </c>
      <c r="D4109" t="s">
        <v>2014</v>
      </c>
      <c r="E4109" t="s">
        <v>134</v>
      </c>
      <c r="F4109" t="s">
        <v>8362</v>
      </c>
      <c r="G4109" t="str">
        <f>"00360319"</f>
        <v>00360319</v>
      </c>
      <c r="H4109">
        <v>0</v>
      </c>
      <c r="I4109">
        <v>0</v>
      </c>
      <c r="M4109">
        <v>0</v>
      </c>
      <c r="N4109">
        <v>0</v>
      </c>
      <c r="O4109">
        <v>0</v>
      </c>
      <c r="P4109">
        <v>0</v>
      </c>
      <c r="Q4109">
        <v>0</v>
      </c>
      <c r="R4109">
        <v>0</v>
      </c>
      <c r="S4109">
        <v>0</v>
      </c>
      <c r="T4109">
        <v>0</v>
      </c>
      <c r="U4109">
        <v>0</v>
      </c>
      <c r="V4109">
        <v>0</v>
      </c>
      <c r="W4109">
        <v>0</v>
      </c>
      <c r="X4109">
        <v>0</v>
      </c>
      <c r="Y4109">
        <v>0</v>
      </c>
      <c r="Z4109">
        <v>0</v>
      </c>
      <c r="AA4109">
        <v>0</v>
      </c>
      <c r="AC4109">
        <v>0</v>
      </c>
    </row>
    <row r="4110" spans="1:29">
      <c r="A4110">
        <v>4103</v>
      </c>
      <c r="B4110">
        <v>4373</v>
      </c>
      <c r="C4110" t="s">
        <v>8350</v>
      </c>
      <c r="D4110" t="s">
        <v>185</v>
      </c>
      <c r="E4110" t="s">
        <v>28</v>
      </c>
      <c r="F4110" t="s">
        <v>8351</v>
      </c>
      <c r="G4110" t="str">
        <f>"00863394"</f>
        <v>00863394</v>
      </c>
      <c r="H4110">
        <v>0</v>
      </c>
      <c r="I4110">
        <v>0</v>
      </c>
      <c r="M4110">
        <v>0</v>
      </c>
      <c r="N4110">
        <v>0</v>
      </c>
      <c r="O4110">
        <v>0</v>
      </c>
      <c r="P4110">
        <v>0</v>
      </c>
      <c r="Q4110">
        <v>0</v>
      </c>
      <c r="R4110">
        <v>0</v>
      </c>
      <c r="S4110">
        <v>0</v>
      </c>
      <c r="T4110">
        <v>0</v>
      </c>
      <c r="U4110">
        <v>0</v>
      </c>
      <c r="V4110">
        <v>0</v>
      </c>
      <c r="W4110">
        <v>0</v>
      </c>
      <c r="X4110">
        <v>0</v>
      </c>
      <c r="Y4110">
        <v>0</v>
      </c>
      <c r="Z4110">
        <v>0</v>
      </c>
      <c r="AA4110">
        <v>0</v>
      </c>
      <c r="AC4110">
        <v>0</v>
      </c>
    </row>
    <row r="4111" spans="1:29">
      <c r="A4111">
        <v>4104</v>
      </c>
      <c r="B4111">
        <v>424</v>
      </c>
      <c r="C4111" t="s">
        <v>8354</v>
      </c>
      <c r="D4111" t="s">
        <v>8355</v>
      </c>
      <c r="E4111" t="s">
        <v>53</v>
      </c>
      <c r="F4111" t="s">
        <v>8356</v>
      </c>
      <c r="G4111" t="str">
        <f>"00856131"</f>
        <v>00856131</v>
      </c>
      <c r="H4111">
        <v>0</v>
      </c>
      <c r="I4111">
        <v>0</v>
      </c>
      <c r="M4111">
        <v>0</v>
      </c>
      <c r="N4111">
        <v>0</v>
      </c>
      <c r="O4111">
        <v>0</v>
      </c>
      <c r="P4111">
        <v>0</v>
      </c>
      <c r="Q4111">
        <v>0</v>
      </c>
      <c r="R4111">
        <v>0</v>
      </c>
      <c r="S4111">
        <v>0</v>
      </c>
      <c r="T4111">
        <v>0</v>
      </c>
      <c r="U4111">
        <v>0</v>
      </c>
      <c r="V4111">
        <v>0</v>
      </c>
      <c r="W4111">
        <v>0</v>
      </c>
      <c r="X4111">
        <v>0</v>
      </c>
      <c r="Y4111">
        <v>0</v>
      </c>
      <c r="Z4111">
        <v>0</v>
      </c>
      <c r="AA4111">
        <v>0</v>
      </c>
      <c r="AC4111">
        <v>0</v>
      </c>
    </row>
    <row r="4112" spans="1:29">
      <c r="A4112">
        <v>4105</v>
      </c>
      <c r="B4112">
        <v>4799</v>
      </c>
      <c r="C4112" t="s">
        <v>8359</v>
      </c>
      <c r="D4112" t="s">
        <v>6882</v>
      </c>
      <c r="E4112" t="s">
        <v>8360</v>
      </c>
      <c r="F4112">
        <v>650679223</v>
      </c>
      <c r="G4112" t="str">
        <f>"00865245"</f>
        <v>00865245</v>
      </c>
      <c r="H4112">
        <v>0</v>
      </c>
      <c r="I4112">
        <v>0</v>
      </c>
      <c r="M4112">
        <v>0</v>
      </c>
      <c r="N4112">
        <v>0</v>
      </c>
      <c r="O4112">
        <v>0</v>
      </c>
      <c r="P4112">
        <v>0</v>
      </c>
      <c r="Q4112">
        <v>0</v>
      </c>
      <c r="R4112">
        <v>0</v>
      </c>
      <c r="S4112">
        <v>0</v>
      </c>
      <c r="T4112">
        <v>0</v>
      </c>
      <c r="U4112">
        <v>0</v>
      </c>
      <c r="V4112">
        <v>0</v>
      </c>
      <c r="W4112">
        <v>0</v>
      </c>
      <c r="X4112">
        <v>0</v>
      </c>
      <c r="Y4112">
        <v>0</v>
      </c>
      <c r="Z4112">
        <v>0</v>
      </c>
      <c r="AA4112">
        <v>0</v>
      </c>
      <c r="AC4112">
        <v>0</v>
      </c>
    </row>
    <row r="4113" spans="1:29">
      <c r="A4113">
        <v>4106</v>
      </c>
      <c r="B4113">
        <v>2602</v>
      </c>
      <c r="C4113" t="s">
        <v>345</v>
      </c>
      <c r="D4113" t="s">
        <v>448</v>
      </c>
      <c r="E4113" t="s">
        <v>18</v>
      </c>
      <c r="F4113" t="s">
        <v>8341</v>
      </c>
      <c r="G4113" t="str">
        <f>"00865395"</f>
        <v>00865395</v>
      </c>
      <c r="H4113">
        <v>0</v>
      </c>
      <c r="I4113">
        <v>0</v>
      </c>
      <c r="M4113">
        <v>0</v>
      </c>
      <c r="N4113">
        <v>0</v>
      </c>
      <c r="O4113">
        <v>0</v>
      </c>
      <c r="P4113">
        <v>0</v>
      </c>
      <c r="Q4113">
        <v>0</v>
      </c>
      <c r="R4113">
        <v>0</v>
      </c>
      <c r="S4113">
        <v>0</v>
      </c>
      <c r="T4113">
        <v>0</v>
      </c>
      <c r="U4113">
        <v>0</v>
      </c>
      <c r="V4113">
        <v>0</v>
      </c>
      <c r="W4113">
        <v>0</v>
      </c>
      <c r="X4113">
        <v>0</v>
      </c>
      <c r="Y4113">
        <v>0</v>
      </c>
      <c r="Z4113">
        <v>0</v>
      </c>
      <c r="AA4113">
        <v>0</v>
      </c>
      <c r="AC4113">
        <v>0</v>
      </c>
    </row>
    <row r="4114" spans="1:29">
      <c r="A4114">
        <v>4107</v>
      </c>
      <c r="B4114">
        <v>3693</v>
      </c>
      <c r="C4114" t="s">
        <v>6886</v>
      </c>
      <c r="D4114" t="s">
        <v>8387</v>
      </c>
      <c r="E4114" t="s">
        <v>1527</v>
      </c>
      <c r="F4114" t="s">
        <v>8388</v>
      </c>
      <c r="G4114" t="str">
        <f>"00780767"</f>
        <v>00780767</v>
      </c>
      <c r="H4114">
        <v>0</v>
      </c>
      <c r="I4114">
        <v>0</v>
      </c>
      <c r="M4114">
        <v>0</v>
      </c>
      <c r="N4114">
        <v>0</v>
      </c>
      <c r="O4114">
        <v>0</v>
      </c>
      <c r="P4114">
        <v>0</v>
      </c>
      <c r="Q4114">
        <v>0</v>
      </c>
      <c r="R4114">
        <v>0</v>
      </c>
      <c r="S4114">
        <v>0</v>
      </c>
      <c r="T4114">
        <v>0</v>
      </c>
      <c r="U4114">
        <v>0</v>
      </c>
      <c r="V4114">
        <v>0</v>
      </c>
      <c r="W4114">
        <v>0</v>
      </c>
      <c r="X4114">
        <v>0</v>
      </c>
      <c r="Y4114">
        <v>0</v>
      </c>
      <c r="Z4114">
        <v>0</v>
      </c>
      <c r="AA4114">
        <v>0</v>
      </c>
      <c r="AC4114">
        <v>0</v>
      </c>
    </row>
    <row r="4115" spans="1:29">
      <c r="A4115">
        <v>4108</v>
      </c>
      <c r="B4115">
        <v>4586</v>
      </c>
      <c r="C4115" t="s">
        <v>4919</v>
      </c>
      <c r="D4115" t="s">
        <v>159</v>
      </c>
      <c r="E4115" t="s">
        <v>115</v>
      </c>
      <c r="F4115" t="s">
        <v>8378</v>
      </c>
      <c r="G4115" t="str">
        <f>"00422405"</f>
        <v>00422405</v>
      </c>
      <c r="H4115">
        <v>0</v>
      </c>
      <c r="I4115">
        <v>0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0</v>
      </c>
      <c r="U4115">
        <v>0</v>
      </c>
      <c r="V4115">
        <v>0</v>
      </c>
      <c r="W4115">
        <v>0</v>
      </c>
      <c r="X4115">
        <v>0</v>
      </c>
      <c r="Y4115">
        <v>0</v>
      </c>
      <c r="Z4115">
        <v>0</v>
      </c>
      <c r="AA4115">
        <v>0</v>
      </c>
      <c r="AC4115">
        <v>0</v>
      </c>
    </row>
    <row r="4116" spans="1:29">
      <c r="A4116">
        <v>4109</v>
      </c>
      <c r="B4116">
        <v>3375</v>
      </c>
      <c r="C4116" t="s">
        <v>6092</v>
      </c>
      <c r="D4116" t="s">
        <v>46</v>
      </c>
      <c r="E4116" t="s">
        <v>28</v>
      </c>
      <c r="F4116" t="s">
        <v>8370</v>
      </c>
      <c r="G4116" t="str">
        <f>"00531956"</f>
        <v>00531956</v>
      </c>
      <c r="H4116">
        <v>0</v>
      </c>
      <c r="I4116">
        <v>0</v>
      </c>
      <c r="M4116">
        <v>0</v>
      </c>
      <c r="N4116">
        <v>0</v>
      </c>
      <c r="O4116">
        <v>0</v>
      </c>
      <c r="P4116">
        <v>0</v>
      </c>
      <c r="Q4116">
        <v>0</v>
      </c>
      <c r="R4116">
        <v>0</v>
      </c>
      <c r="S4116">
        <v>0</v>
      </c>
      <c r="T4116">
        <v>0</v>
      </c>
      <c r="U4116">
        <v>0</v>
      </c>
      <c r="V4116">
        <v>0</v>
      </c>
      <c r="W4116">
        <v>0</v>
      </c>
      <c r="X4116">
        <v>0</v>
      </c>
      <c r="Y4116">
        <v>0</v>
      </c>
      <c r="Z4116">
        <v>0</v>
      </c>
      <c r="AA4116">
        <v>0</v>
      </c>
      <c r="AC4116">
        <v>0</v>
      </c>
    </row>
    <row r="4117" spans="1:29">
      <c r="A4117">
        <v>4110</v>
      </c>
      <c r="B4117">
        <v>2210</v>
      </c>
      <c r="C4117" t="s">
        <v>178</v>
      </c>
      <c r="D4117" t="s">
        <v>329</v>
      </c>
      <c r="E4117" t="s">
        <v>79</v>
      </c>
      <c r="F4117" t="s">
        <v>8386</v>
      </c>
      <c r="G4117" t="str">
        <f>"00855565"</f>
        <v>00855565</v>
      </c>
      <c r="H4117">
        <v>0</v>
      </c>
      <c r="I4117">
        <v>0</v>
      </c>
      <c r="M4117">
        <v>0</v>
      </c>
      <c r="N4117">
        <v>0</v>
      </c>
      <c r="O4117">
        <v>0</v>
      </c>
      <c r="P4117">
        <v>0</v>
      </c>
      <c r="Q4117">
        <v>0</v>
      </c>
      <c r="R4117">
        <v>0</v>
      </c>
      <c r="S4117">
        <v>0</v>
      </c>
      <c r="T4117">
        <v>0</v>
      </c>
      <c r="U4117">
        <v>0</v>
      </c>
      <c r="V4117">
        <v>0</v>
      </c>
      <c r="W4117">
        <v>0</v>
      </c>
      <c r="X4117">
        <v>0</v>
      </c>
      <c r="Y4117">
        <v>0</v>
      </c>
      <c r="Z4117">
        <v>0</v>
      </c>
      <c r="AA4117">
        <v>0</v>
      </c>
      <c r="AC4117">
        <v>0</v>
      </c>
    </row>
    <row r="4118" spans="1:29">
      <c r="A4118">
        <v>4111</v>
      </c>
      <c r="B4118">
        <v>2901</v>
      </c>
      <c r="C4118" t="s">
        <v>8383</v>
      </c>
      <c r="D4118" t="s">
        <v>130</v>
      </c>
      <c r="E4118" t="s">
        <v>6737</v>
      </c>
      <c r="F4118" t="s">
        <v>8384</v>
      </c>
      <c r="G4118" t="str">
        <f>"00861476"</f>
        <v>00861476</v>
      </c>
      <c r="H4118">
        <v>0</v>
      </c>
      <c r="I4118">
        <v>0</v>
      </c>
      <c r="M4118">
        <v>0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0</v>
      </c>
      <c r="Y4118">
        <v>0</v>
      </c>
      <c r="Z4118">
        <v>0</v>
      </c>
      <c r="AA4118">
        <v>0</v>
      </c>
      <c r="AC4118">
        <v>0</v>
      </c>
    </row>
    <row r="4119" spans="1:29">
      <c r="A4119">
        <v>4112</v>
      </c>
      <c r="B4119">
        <v>4977</v>
      </c>
      <c r="C4119" t="s">
        <v>8375</v>
      </c>
      <c r="D4119" t="s">
        <v>8376</v>
      </c>
      <c r="E4119" t="s">
        <v>1088</v>
      </c>
      <c r="F4119" t="s">
        <v>8377</v>
      </c>
      <c r="G4119" t="str">
        <f>"00463180"</f>
        <v>00463180</v>
      </c>
      <c r="H4119">
        <v>0</v>
      </c>
      <c r="I4119">
        <v>0</v>
      </c>
      <c r="M4119">
        <v>0</v>
      </c>
      <c r="N4119">
        <v>0</v>
      </c>
      <c r="O4119">
        <v>0</v>
      </c>
      <c r="P4119">
        <v>0</v>
      </c>
      <c r="Q4119">
        <v>0</v>
      </c>
      <c r="R4119">
        <v>0</v>
      </c>
      <c r="S4119">
        <v>0</v>
      </c>
      <c r="T4119">
        <v>0</v>
      </c>
      <c r="U4119">
        <v>0</v>
      </c>
      <c r="V4119">
        <v>0</v>
      </c>
      <c r="W4119">
        <v>0</v>
      </c>
      <c r="X4119">
        <v>0</v>
      </c>
      <c r="Y4119">
        <v>0</v>
      </c>
      <c r="Z4119">
        <v>0</v>
      </c>
      <c r="AA4119">
        <v>0</v>
      </c>
      <c r="AC4119">
        <v>0</v>
      </c>
    </row>
    <row r="4120" spans="1:29">
      <c r="A4120">
        <v>4113</v>
      </c>
      <c r="B4120">
        <v>2237</v>
      </c>
      <c r="C4120" t="s">
        <v>8344</v>
      </c>
      <c r="D4120" t="s">
        <v>86</v>
      </c>
      <c r="E4120" t="s">
        <v>621</v>
      </c>
      <c r="F4120" t="s">
        <v>8345</v>
      </c>
      <c r="G4120" t="str">
        <f>"00860433"</f>
        <v>00860433</v>
      </c>
      <c r="H4120">
        <v>0</v>
      </c>
      <c r="I4120">
        <v>0</v>
      </c>
      <c r="M4120">
        <v>0</v>
      </c>
      <c r="N4120">
        <v>0</v>
      </c>
      <c r="O4120">
        <v>0</v>
      </c>
      <c r="P4120">
        <v>0</v>
      </c>
      <c r="Q4120">
        <v>0</v>
      </c>
      <c r="R4120">
        <v>0</v>
      </c>
      <c r="S4120">
        <v>0</v>
      </c>
      <c r="T4120">
        <v>0</v>
      </c>
      <c r="U4120">
        <v>0</v>
      </c>
      <c r="V4120">
        <v>0</v>
      </c>
      <c r="W4120">
        <v>0</v>
      </c>
      <c r="X4120">
        <v>0</v>
      </c>
      <c r="Y4120">
        <v>0</v>
      </c>
      <c r="Z4120">
        <v>0</v>
      </c>
      <c r="AA4120">
        <v>0</v>
      </c>
      <c r="AC4120">
        <v>0</v>
      </c>
    </row>
    <row r="4121" spans="1:29">
      <c r="A4121">
        <v>4114</v>
      </c>
      <c r="B4121">
        <v>3135</v>
      </c>
      <c r="C4121" t="s">
        <v>8346</v>
      </c>
      <c r="D4121" t="s">
        <v>465</v>
      </c>
      <c r="E4121" t="s">
        <v>79</v>
      </c>
      <c r="F4121" t="s">
        <v>8347</v>
      </c>
      <c r="G4121" t="str">
        <f>"00857131"</f>
        <v>00857131</v>
      </c>
      <c r="H4121">
        <v>0</v>
      </c>
      <c r="I4121">
        <v>0</v>
      </c>
      <c r="M4121">
        <v>0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>
        <v>0</v>
      </c>
      <c r="V4121">
        <v>0</v>
      </c>
      <c r="W4121">
        <v>0</v>
      </c>
      <c r="X4121">
        <v>0</v>
      </c>
      <c r="Y4121">
        <v>0</v>
      </c>
      <c r="Z4121">
        <v>0</v>
      </c>
      <c r="AA4121">
        <v>0</v>
      </c>
      <c r="AC4121">
        <v>0</v>
      </c>
    </row>
    <row r="4122" spans="1:29">
      <c r="A4122">
        <v>4115</v>
      </c>
      <c r="B4122">
        <v>128</v>
      </c>
      <c r="C4122" t="s">
        <v>1761</v>
      </c>
      <c r="D4122" t="s">
        <v>784</v>
      </c>
      <c r="E4122" t="s">
        <v>165</v>
      </c>
      <c r="F4122" t="s">
        <v>8367</v>
      </c>
      <c r="G4122" t="str">
        <f>"00751550"</f>
        <v>00751550</v>
      </c>
      <c r="H4122">
        <v>0</v>
      </c>
      <c r="I4122">
        <v>0</v>
      </c>
      <c r="M4122">
        <v>0</v>
      </c>
      <c r="N4122">
        <v>0</v>
      </c>
      <c r="O4122">
        <v>0</v>
      </c>
      <c r="P4122">
        <v>0</v>
      </c>
      <c r="Q4122">
        <v>0</v>
      </c>
      <c r="R4122">
        <v>0</v>
      </c>
      <c r="S4122">
        <v>0</v>
      </c>
      <c r="T4122">
        <v>0</v>
      </c>
      <c r="U4122">
        <v>0</v>
      </c>
      <c r="V4122">
        <v>0</v>
      </c>
      <c r="W4122">
        <v>0</v>
      </c>
      <c r="X4122">
        <v>0</v>
      </c>
      <c r="Y4122">
        <v>0</v>
      </c>
      <c r="Z4122">
        <v>0</v>
      </c>
      <c r="AA4122">
        <v>0</v>
      </c>
      <c r="AC4122">
        <v>0</v>
      </c>
    </row>
    <row r="4123" spans="1:29">
      <c r="A4123">
        <v>4116</v>
      </c>
      <c r="B4123">
        <v>282</v>
      </c>
      <c r="C4123" t="s">
        <v>8363</v>
      </c>
      <c r="D4123" t="s">
        <v>164</v>
      </c>
      <c r="E4123" t="s">
        <v>15</v>
      </c>
      <c r="F4123" t="s">
        <v>8364</v>
      </c>
      <c r="G4123" t="str">
        <f>"00853006"</f>
        <v>00853006</v>
      </c>
      <c r="H4123">
        <v>0</v>
      </c>
      <c r="I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>
        <v>0</v>
      </c>
      <c r="V4123">
        <v>0</v>
      </c>
      <c r="W4123">
        <v>0</v>
      </c>
      <c r="X4123">
        <v>0</v>
      </c>
      <c r="Y4123">
        <v>0</v>
      </c>
      <c r="Z4123">
        <v>0</v>
      </c>
      <c r="AA4123">
        <v>0</v>
      </c>
      <c r="AC4123">
        <v>0</v>
      </c>
    </row>
    <row r="4124" spans="1:29">
      <c r="A4124">
        <v>4117</v>
      </c>
      <c r="B4124">
        <v>1747</v>
      </c>
      <c r="C4124" t="s">
        <v>8352</v>
      </c>
      <c r="D4124" t="s">
        <v>39</v>
      </c>
      <c r="E4124" t="s">
        <v>436</v>
      </c>
      <c r="F4124" t="s">
        <v>8353</v>
      </c>
      <c r="G4124" t="str">
        <f>"00559250"</f>
        <v>00559250</v>
      </c>
      <c r="H4124">
        <v>0</v>
      </c>
      <c r="I4124">
        <v>0</v>
      </c>
      <c r="M4124">
        <v>0</v>
      </c>
      <c r="N4124">
        <v>0</v>
      </c>
      <c r="O4124">
        <v>0</v>
      </c>
      <c r="P4124">
        <v>0</v>
      </c>
      <c r="Q4124">
        <v>0</v>
      </c>
      <c r="R4124">
        <v>0</v>
      </c>
      <c r="S4124">
        <v>0</v>
      </c>
      <c r="T4124">
        <v>0</v>
      </c>
      <c r="U4124">
        <v>0</v>
      </c>
      <c r="V4124">
        <v>0</v>
      </c>
      <c r="W4124">
        <v>0</v>
      </c>
      <c r="X4124">
        <v>0</v>
      </c>
      <c r="Y4124">
        <v>0</v>
      </c>
      <c r="Z4124">
        <v>0</v>
      </c>
      <c r="AA4124">
        <v>0</v>
      </c>
      <c r="AC4124">
        <v>0</v>
      </c>
    </row>
    <row r="4125" spans="1:29">
      <c r="A4125">
        <v>4118</v>
      </c>
      <c r="B4125">
        <v>649</v>
      </c>
      <c r="C4125" t="s">
        <v>8161</v>
      </c>
      <c r="D4125" t="s">
        <v>1660</v>
      </c>
      <c r="E4125" t="s">
        <v>15</v>
      </c>
      <c r="F4125" t="s">
        <v>8358</v>
      </c>
      <c r="G4125" t="str">
        <f>"00855831"</f>
        <v>00855831</v>
      </c>
      <c r="H4125">
        <v>0</v>
      </c>
      <c r="I4125">
        <v>0</v>
      </c>
      <c r="M4125">
        <v>0</v>
      </c>
      <c r="N4125">
        <v>0</v>
      </c>
      <c r="O4125">
        <v>0</v>
      </c>
      <c r="P4125">
        <v>0</v>
      </c>
      <c r="Q4125">
        <v>0</v>
      </c>
      <c r="R4125">
        <v>0</v>
      </c>
      <c r="S4125">
        <v>0</v>
      </c>
      <c r="T4125">
        <v>0</v>
      </c>
      <c r="U4125">
        <v>0</v>
      </c>
      <c r="V4125">
        <v>0</v>
      </c>
      <c r="W4125">
        <v>0</v>
      </c>
      <c r="X4125">
        <v>0</v>
      </c>
      <c r="Y4125">
        <v>0</v>
      </c>
      <c r="Z4125">
        <v>0</v>
      </c>
      <c r="AA4125">
        <v>0</v>
      </c>
      <c r="AC4125">
        <v>0</v>
      </c>
    </row>
    <row r="4126" spans="1:29">
      <c r="A4126">
        <v>4119</v>
      </c>
      <c r="B4126">
        <v>4134</v>
      </c>
      <c r="C4126" t="s">
        <v>8342</v>
      </c>
      <c r="D4126" t="s">
        <v>175</v>
      </c>
      <c r="E4126" t="s">
        <v>15</v>
      </c>
      <c r="F4126" t="s">
        <v>8343</v>
      </c>
      <c r="G4126" t="str">
        <f>"00804941"</f>
        <v>00804941</v>
      </c>
      <c r="H4126">
        <v>0</v>
      </c>
      <c r="I4126">
        <v>0</v>
      </c>
      <c r="M4126">
        <v>0</v>
      </c>
      <c r="N4126">
        <v>0</v>
      </c>
      <c r="O4126">
        <v>0</v>
      </c>
      <c r="P4126">
        <v>0</v>
      </c>
      <c r="Q4126">
        <v>0</v>
      </c>
      <c r="R4126">
        <v>0</v>
      </c>
      <c r="S4126">
        <v>0</v>
      </c>
      <c r="T4126">
        <v>0</v>
      </c>
      <c r="U4126">
        <v>0</v>
      </c>
      <c r="V4126">
        <v>0</v>
      </c>
      <c r="W4126">
        <v>0</v>
      </c>
      <c r="X4126">
        <v>0</v>
      </c>
      <c r="Y4126">
        <v>0</v>
      </c>
      <c r="Z4126">
        <v>0</v>
      </c>
      <c r="AA4126">
        <v>0</v>
      </c>
      <c r="AC4126">
        <v>0</v>
      </c>
    </row>
    <row r="4127" spans="1:29">
      <c r="A4127">
        <v>4120</v>
      </c>
      <c r="B4127">
        <v>3674</v>
      </c>
      <c r="C4127" t="s">
        <v>4624</v>
      </c>
      <c r="D4127" t="s">
        <v>27</v>
      </c>
      <c r="E4127" t="s">
        <v>28</v>
      </c>
      <c r="F4127" t="s">
        <v>8349</v>
      </c>
      <c r="G4127" t="str">
        <f>"00753671"</f>
        <v>00753671</v>
      </c>
      <c r="H4127">
        <v>0</v>
      </c>
      <c r="I4127">
        <v>0</v>
      </c>
      <c r="M4127">
        <v>0</v>
      </c>
      <c r="N4127">
        <v>0</v>
      </c>
      <c r="O4127">
        <v>0</v>
      </c>
      <c r="P4127">
        <v>0</v>
      </c>
      <c r="Q4127">
        <v>0</v>
      </c>
      <c r="R4127">
        <v>0</v>
      </c>
      <c r="S4127">
        <v>0</v>
      </c>
      <c r="T4127">
        <v>0</v>
      </c>
      <c r="U4127">
        <v>0</v>
      </c>
      <c r="V4127">
        <v>0</v>
      </c>
      <c r="W4127">
        <v>0</v>
      </c>
      <c r="X4127">
        <v>0</v>
      </c>
      <c r="Y4127">
        <v>0</v>
      </c>
      <c r="Z4127">
        <v>0</v>
      </c>
      <c r="AA4127">
        <v>0</v>
      </c>
      <c r="AC4127">
        <v>0</v>
      </c>
    </row>
    <row r="4128" spans="1:29">
      <c r="A4128">
        <v>4121</v>
      </c>
      <c r="B4128">
        <v>4259</v>
      </c>
      <c r="C4128" t="s">
        <v>163</v>
      </c>
      <c r="D4128" t="s">
        <v>352</v>
      </c>
      <c r="E4128" t="s">
        <v>745</v>
      </c>
      <c r="F4128" t="s">
        <v>8357</v>
      </c>
      <c r="G4128" t="str">
        <f>"00462337"</f>
        <v>00462337</v>
      </c>
      <c r="H4128">
        <v>0</v>
      </c>
      <c r="I4128">
        <v>0</v>
      </c>
      <c r="M4128">
        <v>0</v>
      </c>
      <c r="N4128">
        <v>0</v>
      </c>
      <c r="O4128">
        <v>0</v>
      </c>
      <c r="P4128">
        <v>0</v>
      </c>
      <c r="Q4128">
        <v>0</v>
      </c>
      <c r="R4128">
        <v>0</v>
      </c>
      <c r="S4128">
        <v>0</v>
      </c>
      <c r="T4128">
        <v>0</v>
      </c>
      <c r="U4128">
        <v>0</v>
      </c>
      <c r="V4128">
        <v>0</v>
      </c>
      <c r="W4128">
        <v>0</v>
      </c>
      <c r="X4128">
        <v>0</v>
      </c>
      <c r="Y4128">
        <v>0</v>
      </c>
      <c r="Z4128">
        <v>0</v>
      </c>
      <c r="AA4128">
        <v>0</v>
      </c>
      <c r="AC4128">
        <v>0</v>
      </c>
    </row>
    <row r="4129" spans="1:29">
      <c r="A4129">
        <v>4122</v>
      </c>
      <c r="B4129">
        <v>611</v>
      </c>
      <c r="C4129" t="s">
        <v>8368</v>
      </c>
      <c r="D4129" t="s">
        <v>185</v>
      </c>
      <c r="E4129" t="s">
        <v>1020</v>
      </c>
      <c r="F4129" t="s">
        <v>8369</v>
      </c>
      <c r="G4129" t="str">
        <f>"201209000126"</f>
        <v>201209000126</v>
      </c>
      <c r="H4129">
        <v>0</v>
      </c>
      <c r="I4129">
        <v>0</v>
      </c>
      <c r="M4129">
        <v>0</v>
      </c>
      <c r="N4129">
        <v>0</v>
      </c>
      <c r="O4129">
        <v>0</v>
      </c>
      <c r="P4129">
        <v>0</v>
      </c>
      <c r="Q4129">
        <v>0</v>
      </c>
      <c r="R4129">
        <v>0</v>
      </c>
      <c r="S4129">
        <v>0</v>
      </c>
      <c r="T4129">
        <v>0</v>
      </c>
      <c r="U4129">
        <v>0</v>
      </c>
      <c r="V4129">
        <v>0</v>
      </c>
      <c r="W4129">
        <v>0</v>
      </c>
      <c r="X4129">
        <v>0</v>
      </c>
      <c r="Y4129">
        <v>0</v>
      </c>
      <c r="Z4129">
        <v>0</v>
      </c>
      <c r="AA4129">
        <v>0</v>
      </c>
      <c r="AC4129">
        <v>0</v>
      </c>
    </row>
    <row r="4130" spans="1:29">
      <c r="A4130">
        <v>4123</v>
      </c>
      <c r="B4130">
        <v>3923</v>
      </c>
      <c r="C4130" t="s">
        <v>8371</v>
      </c>
      <c r="D4130" t="s">
        <v>8372</v>
      </c>
      <c r="E4130" t="s">
        <v>8373</v>
      </c>
      <c r="F4130" t="s">
        <v>8374</v>
      </c>
      <c r="G4130" t="str">
        <f>"00533842"</f>
        <v>00533842</v>
      </c>
      <c r="H4130">
        <v>0</v>
      </c>
      <c r="I4130">
        <v>0</v>
      </c>
      <c r="M4130">
        <v>0</v>
      </c>
      <c r="N4130">
        <v>0</v>
      </c>
      <c r="O4130">
        <v>0</v>
      </c>
      <c r="P4130">
        <v>0</v>
      </c>
      <c r="Q4130">
        <v>0</v>
      </c>
      <c r="R4130">
        <v>0</v>
      </c>
      <c r="S4130">
        <v>0</v>
      </c>
      <c r="T4130">
        <v>0</v>
      </c>
      <c r="U4130">
        <v>0</v>
      </c>
      <c r="V4130">
        <v>0</v>
      </c>
      <c r="W4130">
        <v>0</v>
      </c>
      <c r="X4130">
        <v>0</v>
      </c>
      <c r="Y4130">
        <v>0</v>
      </c>
      <c r="Z4130">
        <v>0</v>
      </c>
      <c r="AA4130">
        <v>0</v>
      </c>
      <c r="AC4130">
        <v>0</v>
      </c>
    </row>
    <row r="4131" spans="1:29">
      <c r="A4131">
        <v>4124</v>
      </c>
      <c r="B4131">
        <v>2711</v>
      </c>
      <c r="C4131" t="s">
        <v>8276</v>
      </c>
      <c r="D4131" t="s">
        <v>52</v>
      </c>
      <c r="E4131" t="s">
        <v>18</v>
      </c>
      <c r="F4131" t="s">
        <v>8348</v>
      </c>
      <c r="G4131" t="str">
        <f>"00504794"</f>
        <v>00504794</v>
      </c>
      <c r="H4131">
        <v>0</v>
      </c>
      <c r="I4131">
        <v>0</v>
      </c>
      <c r="M4131">
        <v>0</v>
      </c>
      <c r="N4131">
        <v>0</v>
      </c>
      <c r="O4131">
        <v>0</v>
      </c>
      <c r="P4131">
        <v>0</v>
      </c>
      <c r="Q4131">
        <v>0</v>
      </c>
      <c r="R4131">
        <v>0</v>
      </c>
      <c r="S4131">
        <v>0</v>
      </c>
      <c r="T4131">
        <v>0</v>
      </c>
      <c r="U4131">
        <v>0</v>
      </c>
      <c r="V4131">
        <v>0</v>
      </c>
      <c r="W4131">
        <v>0</v>
      </c>
      <c r="X4131">
        <v>0</v>
      </c>
      <c r="Y4131">
        <v>0</v>
      </c>
      <c r="Z4131">
        <v>0</v>
      </c>
      <c r="AA4131">
        <v>0</v>
      </c>
      <c r="AC4131">
        <v>0</v>
      </c>
    </row>
    <row r="4132" spans="1:29">
      <c r="A4132">
        <v>4125</v>
      </c>
      <c r="B4132">
        <v>1351</v>
      </c>
      <c r="C4132" t="s">
        <v>8379</v>
      </c>
      <c r="D4132" t="s">
        <v>8380</v>
      </c>
      <c r="E4132" t="s">
        <v>15</v>
      </c>
      <c r="F4132" t="s">
        <v>8381</v>
      </c>
      <c r="G4132" t="str">
        <f>"00857087"</f>
        <v>00857087</v>
      </c>
      <c r="H4132">
        <v>0</v>
      </c>
      <c r="I4132">
        <v>0</v>
      </c>
      <c r="M4132">
        <v>0</v>
      </c>
      <c r="N4132">
        <v>0</v>
      </c>
      <c r="O4132">
        <v>0</v>
      </c>
      <c r="P4132">
        <v>0</v>
      </c>
      <c r="Q4132">
        <v>0</v>
      </c>
      <c r="R4132">
        <v>0</v>
      </c>
      <c r="S4132">
        <v>0</v>
      </c>
      <c r="T4132">
        <v>0</v>
      </c>
      <c r="U4132">
        <v>0</v>
      </c>
      <c r="V4132">
        <v>0</v>
      </c>
      <c r="W4132">
        <v>0</v>
      </c>
      <c r="X4132">
        <v>0</v>
      </c>
      <c r="Y4132">
        <v>0</v>
      </c>
      <c r="Z4132">
        <v>0</v>
      </c>
      <c r="AA4132">
        <v>0</v>
      </c>
      <c r="AC4132">
        <v>0</v>
      </c>
    </row>
    <row r="4133" spans="1:29">
      <c r="A4133">
        <v>4126</v>
      </c>
      <c r="B4133">
        <v>4534</v>
      </c>
      <c r="C4133" t="s">
        <v>7695</v>
      </c>
      <c r="D4133" t="s">
        <v>167</v>
      </c>
      <c r="E4133" t="s">
        <v>66</v>
      </c>
      <c r="F4133" t="s">
        <v>8385</v>
      </c>
      <c r="G4133" t="str">
        <f>"00861731"</f>
        <v>00861731</v>
      </c>
      <c r="H4133">
        <v>0</v>
      </c>
      <c r="I4133">
        <v>0</v>
      </c>
      <c r="M4133">
        <v>0</v>
      </c>
      <c r="N4133">
        <v>0</v>
      </c>
      <c r="O4133">
        <v>0</v>
      </c>
      <c r="P4133">
        <v>0</v>
      </c>
      <c r="Q4133">
        <v>0</v>
      </c>
      <c r="R4133">
        <v>0</v>
      </c>
      <c r="S4133">
        <v>0</v>
      </c>
      <c r="T4133">
        <v>0</v>
      </c>
      <c r="U4133">
        <v>0</v>
      </c>
      <c r="V4133">
        <v>0</v>
      </c>
      <c r="W4133">
        <v>0</v>
      </c>
      <c r="X4133">
        <v>0</v>
      </c>
      <c r="Y4133">
        <v>0</v>
      </c>
      <c r="Z4133">
        <v>0</v>
      </c>
      <c r="AA4133">
        <v>0</v>
      </c>
      <c r="AC4133">
        <v>0</v>
      </c>
    </row>
    <row r="4134" spans="1:29">
      <c r="A4134">
        <v>4127</v>
      </c>
      <c r="B4134">
        <v>3685</v>
      </c>
      <c r="C4134" t="s">
        <v>8365</v>
      </c>
      <c r="D4134" t="s">
        <v>46</v>
      </c>
      <c r="E4134" t="s">
        <v>18</v>
      </c>
      <c r="F4134" t="s">
        <v>8366</v>
      </c>
      <c r="G4134" t="str">
        <f>"00859450"</f>
        <v>00859450</v>
      </c>
      <c r="H4134">
        <v>0</v>
      </c>
      <c r="I4134">
        <v>0</v>
      </c>
      <c r="M4134">
        <v>0</v>
      </c>
      <c r="N4134">
        <v>0</v>
      </c>
      <c r="O4134">
        <v>0</v>
      </c>
      <c r="P4134">
        <v>0</v>
      </c>
      <c r="Q4134">
        <v>0</v>
      </c>
      <c r="R4134">
        <v>0</v>
      </c>
      <c r="S4134">
        <v>0</v>
      </c>
      <c r="T4134">
        <v>0</v>
      </c>
      <c r="U4134">
        <v>0</v>
      </c>
      <c r="V4134">
        <v>0</v>
      </c>
      <c r="W4134">
        <v>0</v>
      </c>
      <c r="X4134">
        <v>0</v>
      </c>
      <c r="Y4134">
        <v>0</v>
      </c>
      <c r="Z4134">
        <v>0</v>
      </c>
      <c r="AA4134">
        <v>0</v>
      </c>
      <c r="AC4134">
        <v>0</v>
      </c>
    </row>
    <row r="4135" spans="1:29">
      <c r="A4135">
        <v>4128</v>
      </c>
      <c r="B4135">
        <v>564</v>
      </c>
      <c r="C4135" t="s">
        <v>8339</v>
      </c>
      <c r="D4135" t="s">
        <v>31</v>
      </c>
      <c r="E4135" t="s">
        <v>36</v>
      </c>
      <c r="F4135" t="s">
        <v>8340</v>
      </c>
      <c r="G4135" t="str">
        <f>"00530991"</f>
        <v>00530991</v>
      </c>
      <c r="H4135">
        <v>0</v>
      </c>
      <c r="I4135">
        <v>0</v>
      </c>
      <c r="M4135">
        <v>0</v>
      </c>
      <c r="N4135">
        <v>0</v>
      </c>
      <c r="O4135">
        <v>0</v>
      </c>
      <c r="P4135">
        <v>0</v>
      </c>
      <c r="Q4135">
        <v>0</v>
      </c>
      <c r="R4135">
        <v>0</v>
      </c>
      <c r="S4135">
        <v>0</v>
      </c>
      <c r="T4135">
        <v>0</v>
      </c>
      <c r="U4135">
        <v>0</v>
      </c>
      <c r="V4135">
        <v>0</v>
      </c>
      <c r="W4135">
        <v>0</v>
      </c>
      <c r="X4135">
        <v>0</v>
      </c>
      <c r="Y4135">
        <v>0</v>
      </c>
      <c r="Z4135">
        <v>0</v>
      </c>
      <c r="AA4135">
        <v>0</v>
      </c>
      <c r="AC4135">
        <v>0</v>
      </c>
    </row>
    <row r="4136" spans="1:29">
      <c r="A4136">
        <v>4129</v>
      </c>
      <c r="B4136">
        <v>4114</v>
      </c>
      <c r="C4136" t="s">
        <v>3872</v>
      </c>
      <c r="D4136" t="s">
        <v>784</v>
      </c>
      <c r="E4136" t="s">
        <v>115</v>
      </c>
      <c r="F4136" t="s">
        <v>8382</v>
      </c>
      <c r="G4136" t="str">
        <f>"00861344"</f>
        <v>00861344</v>
      </c>
      <c r="H4136">
        <v>0</v>
      </c>
      <c r="I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0</v>
      </c>
      <c r="Y4136">
        <v>0</v>
      </c>
      <c r="Z4136">
        <v>0</v>
      </c>
      <c r="AA4136">
        <v>0</v>
      </c>
      <c r="AC4136">
        <v>0</v>
      </c>
    </row>
    <row r="4154" spans="1:1">
      <c r="A4154" t="s">
        <v>8389</v>
      </c>
    </row>
    <row r="4155" spans="1:1">
      <c r="A4155" t="s">
        <v>8390</v>
      </c>
    </row>
    <row r="4156" spans="1:1">
      <c r="A4156" t="s">
        <v>8391</v>
      </c>
    </row>
    <row r="4157" spans="1:1">
      <c r="A4157" t="s">
        <v>8392</v>
      </c>
    </row>
    <row r="4158" spans="1:1">
      <c r="A4158" t="s">
        <v>8393</v>
      </c>
    </row>
    <row r="4159" spans="1:1">
      <c r="A4159" t="s">
        <v>8394</v>
      </c>
    </row>
    <row r="4160" spans="1:1">
      <c r="A4160" t="s">
        <v>8395</v>
      </c>
    </row>
    <row r="4161" spans="1:1">
      <c r="A4161" t="s">
        <v>8396</v>
      </c>
    </row>
    <row r="4162" spans="1:1">
      <c r="A4162" t="s">
        <v>8397</v>
      </c>
    </row>
    <row r="4163" spans="1:1">
      <c r="A4163" t="s">
        <v>8398</v>
      </c>
    </row>
    <row r="4164" spans="1:1">
      <c r="A4164" t="s">
        <v>8399</v>
      </c>
    </row>
    <row r="4165" spans="1:1">
      <c r="A4165" t="s">
        <v>8400</v>
      </c>
    </row>
    <row r="4166" spans="1:1">
      <c r="A4166" t="s">
        <v>8401</v>
      </c>
    </row>
    <row r="4167" spans="1:1">
      <c r="A4167" t="s">
        <v>8402</v>
      </c>
    </row>
    <row r="4168" spans="1:1">
      <c r="A4168" t="s">
        <v>8403</v>
      </c>
    </row>
    <row r="4169" spans="1:1">
      <c r="A4169" t="s">
        <v>8404</v>
      </c>
    </row>
    <row r="4170" spans="1:1">
      <c r="A4170" t="s">
        <v>8405</v>
      </c>
    </row>
    <row r="4171" spans="1:1">
      <c r="A4171" t="s">
        <v>8406</v>
      </c>
    </row>
    <row r="4172" spans="1:1">
      <c r="A4172" t="s">
        <v>8407</v>
      </c>
    </row>
    <row r="4173" spans="1:1">
      <c r="A4173" t="s">
        <v>8408</v>
      </c>
    </row>
    <row r="4174" spans="1:1">
      <c r="A4174" t="s">
        <v>8409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1_ΚΑΤ_ΔΕ01 ΕΙΔΙΚΟΥ ΒΟΗΘΗΤΙΚΟΥ 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Ntaoutis Evangelos</dc:creator>
  <cp:lastModifiedBy>User</cp:lastModifiedBy>
  <dcterms:created xsi:type="dcterms:W3CDTF">2023-01-04T09:59:31Z</dcterms:created>
  <dcterms:modified xsi:type="dcterms:W3CDTF">2023-01-15T12:34:46Z</dcterms:modified>
</cp:coreProperties>
</file>